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/>
  <mc:AlternateContent xmlns:mc="http://schemas.openxmlformats.org/markup-compatibility/2006">
    <mc:Choice Requires="x15">
      <x15ac:absPath xmlns:x15ac="http://schemas.microsoft.com/office/spreadsheetml/2010/11/ac" url="C:\Users\Анастасия\OneDrive\Рабочий стол\РАБОТА НОВАЯ\КСК\прайсы\Новая папка\"/>
    </mc:Choice>
  </mc:AlternateContent>
  <workbookProtection workbookPassword="CC65" lockStructure="1"/>
  <bookViews>
    <workbookView xWindow="0" yWindow="0" windowWidth="23040" windowHeight="10632" tabRatio="931"/>
  </bookViews>
  <sheets>
    <sheet name="Оглавление" sheetId="1" r:id="rId1"/>
    <sheet name="История" sheetId="2" r:id="rId2"/>
    <sheet name="Гиперссылки" sheetId="4" state="hidden" r:id="rId3"/>
    <sheet name="WEB_UPDATE" sheetId="5" state="hidden" r:id="rId4"/>
    <sheet name="Данные" sheetId="6" state="hidden" r:id="rId5"/>
    <sheet name="ПП_Свод" sheetId="7" state="hidden" r:id="rId6"/>
    <sheet name="ПП_Предложение" sheetId="8" state="hidden" r:id="rId7"/>
    <sheet name="ПП_Расчет" sheetId="9" state="hidden" r:id="rId8"/>
    <sheet name="ПП_Оборудование" sheetId="10" state="hidden" r:id="rId9"/>
    <sheet name="ПП_ГрафПриток" sheetId="11" state="hidden" r:id="rId10"/>
    <sheet name="ПП_Рекуператор" sheetId="12" state="hidden" r:id="rId11"/>
    <sheet name="ПП_Нагреватель" sheetId="13" state="hidden" r:id="rId12"/>
    <sheet name="ПП_Охладитель" sheetId="14" state="hidden" r:id="rId13"/>
    <sheet name="Параметры" sheetId="15" state="hidden" r:id="rId14"/>
    <sheet name="Компактные установки" sheetId="16" r:id="rId15"/>
    <sheet name="Вентиляторы" sheetId="17" r:id="rId16"/>
    <sheet name="Принадлежности" sheetId="18" r:id="rId17"/>
    <sheet name="Нагреватели" sheetId="19" r:id="rId18"/>
    <sheet name="Охладители" sheetId="20" r:id="rId19"/>
    <sheet name="Рекуператоры" sheetId="21" r:id="rId20"/>
    <sheet name="Фильтры" sheetId="22" r:id="rId21"/>
    <sheet name="Заслонки" sheetId="23" r:id="rId22"/>
    <sheet name="Шумоглушители" sheetId="24" r:id="rId23"/>
  </sheets>
  <definedNames>
    <definedName name="_xlnm._FilterDatabase" localSheetId="15" hidden="1">Вентиляторы!$A$18:$E$68</definedName>
    <definedName name="_xlnm._FilterDatabase" localSheetId="21" hidden="1">Заслонки!$B$12:$C$65</definedName>
    <definedName name="_xlnm._FilterDatabase" localSheetId="1" hidden="1">История!#REF!</definedName>
    <definedName name="_xlnm._FilterDatabase" localSheetId="14" hidden="1">'Компактные установки'!$B$10:$C$15</definedName>
    <definedName name="_xlnm._FilterDatabase" localSheetId="17" hidden="1">Нагреватели!$B$10:$C$120</definedName>
    <definedName name="_xlnm._FilterDatabase" localSheetId="18" hidden="1">Охладители!$B$11:$C$84</definedName>
    <definedName name="_xlnm._FilterDatabase" localSheetId="16" hidden="1">Принадлежности!$B$11:$C$107</definedName>
    <definedName name="_xlnm._FilterDatabase" localSheetId="19" hidden="1">Рекуператоры!$B$11:$C$17</definedName>
    <definedName name="_xlnm._FilterDatabase" localSheetId="20" hidden="1">Фильтры!$B$11:$C$108</definedName>
    <definedName name="_xlnm._FilterDatabase" localSheetId="22" hidden="1">Шумоглушители!$B$12:$C$44</definedName>
    <definedName name="pubhtml?gid_0_single_true" localSheetId="3">WEB_UPDATE!$A$1:$C$6</definedName>
    <definedName name="WEB_CONNECT">Данные!$B$2</definedName>
    <definedName name="WEB_DATE">Данные!$A$5</definedName>
    <definedName name="WEB_RANGE">Данные!$B$1</definedName>
    <definedName name="WEB_UPDATE">Данные!$B$3</definedName>
    <definedName name="WEB_URL">Данные!$A$6</definedName>
    <definedName name="WEB_VERSION">Данные!$A$4</definedName>
    <definedName name="Z_0C99ABE2_728B_4C30_A993_CD651C64FAAE_.wvu.Cols" localSheetId="3" hidden="1">WEB_UPDATE!$A:$A</definedName>
    <definedName name="Z_0C99ABE2_728B_4C30_A993_CD651C64FAAE_.wvu.FilterData" localSheetId="15" hidden="1">Вентиляторы!$B$11:$C$117</definedName>
    <definedName name="Z_0C99ABE2_728B_4C30_A993_CD651C64FAAE_.wvu.FilterData" localSheetId="21" hidden="1">Заслонки!$B$12:$C$65</definedName>
    <definedName name="Z_0C99ABE2_728B_4C30_A993_CD651C64FAAE_.wvu.FilterData" localSheetId="14" hidden="1">'Компактные установки'!$B$10:$C$15</definedName>
    <definedName name="Z_0C99ABE2_728B_4C30_A993_CD651C64FAAE_.wvu.FilterData" localSheetId="17" hidden="1">Нагреватели!$B$10:$C$120</definedName>
    <definedName name="Z_0C99ABE2_728B_4C30_A993_CD651C64FAAE_.wvu.FilterData" localSheetId="18" hidden="1">Охладители!$B$11:$C$84</definedName>
    <definedName name="Z_0C99ABE2_728B_4C30_A993_CD651C64FAAE_.wvu.FilterData" localSheetId="16" hidden="1">Принадлежности!$B$11:$C$107</definedName>
    <definedName name="Z_0C99ABE2_728B_4C30_A993_CD651C64FAAE_.wvu.FilterData" localSheetId="19" hidden="1">Рекуператоры!$B$11:$C$17</definedName>
    <definedName name="Z_0C99ABE2_728B_4C30_A993_CD651C64FAAE_.wvu.FilterData" localSheetId="20" hidden="1">Фильтры!$B$11:$C$108</definedName>
    <definedName name="Z_0C99ABE2_728B_4C30_A993_CD651C64FAAE_.wvu.FilterData" localSheetId="22" hidden="1">Шумоглушители!$B$12:$C$44</definedName>
    <definedName name="Z_0C99ABE2_728B_4C30_A993_CD651C64FAAE_.wvu.PrintArea" localSheetId="15" hidden="1">Вентиляторы!$A$6:$C$120</definedName>
    <definedName name="Z_0C99ABE2_728B_4C30_A993_CD651C64FAAE_.wvu.PrintArea" localSheetId="21" hidden="1">Заслонки!$A$6:$C$68</definedName>
    <definedName name="Z_0C99ABE2_728B_4C30_A993_CD651C64FAAE_.wvu.PrintArea" localSheetId="14" hidden="1">'Компактные установки'!$A:$C</definedName>
    <definedName name="Z_0C99ABE2_728B_4C30_A993_CD651C64FAAE_.wvu.PrintArea" localSheetId="17" hidden="1">Нагреватели!$A$7:$C$159</definedName>
    <definedName name="Z_0C99ABE2_728B_4C30_A993_CD651C64FAAE_.wvu.PrintArea" localSheetId="0" hidden="1">Оглавление!$A$9:$AF$45</definedName>
    <definedName name="Z_0C99ABE2_728B_4C30_A993_CD651C64FAAE_.wvu.PrintArea" localSheetId="18" hidden="1">Охладители!$A$8:$C$87</definedName>
    <definedName name="Z_0C99ABE2_728B_4C30_A993_CD651C64FAAE_.wvu.PrintArea" localSheetId="16" hidden="1">Принадлежности!$A$7:$C$122</definedName>
    <definedName name="Z_0C99ABE2_728B_4C30_A993_CD651C64FAAE_.wvu.PrintArea" localSheetId="19" hidden="1">Рекуператоры!$A$7:$C$22</definedName>
    <definedName name="Z_0C99ABE2_728B_4C30_A993_CD651C64FAAE_.wvu.PrintArea" localSheetId="20" hidden="1">Фильтры!$A$7:$C$122</definedName>
    <definedName name="Z_0C99ABE2_728B_4C30_A993_CD651C64FAAE_.wvu.PrintArea" localSheetId="22" hidden="1">Шумоглушители!$A$6:$C$47</definedName>
    <definedName name="Z_0C99ABE2_728B_4C30_A993_CD651C64FAAE_.wvu.Rows" localSheetId="14" hidden="1">'Компактные установки'!$10:$15,'Компактные установки'!#REF!,'Компактные установки'!#REF!,'Компактные установки'!#REF!,'Компактные установки'!#REF!,'Компактные установки'!#REF!,'Компактные установки'!#REF!</definedName>
    <definedName name="Z_2BA56ECA_30F6_456D_AB26_04DD1698A098_.wvu.Cols" localSheetId="3" hidden="1">WEB_UPDATE!$A:$A</definedName>
    <definedName name="Z_2BA56ECA_30F6_456D_AB26_04DD1698A098_.wvu.FilterData" localSheetId="15" hidden="1">Вентиляторы!$B$11:$C$117</definedName>
    <definedName name="Z_2BA56ECA_30F6_456D_AB26_04DD1698A098_.wvu.FilterData" localSheetId="21" hidden="1">Заслонки!$B$12:$C$65</definedName>
    <definedName name="Z_2BA56ECA_30F6_456D_AB26_04DD1698A098_.wvu.FilterData" localSheetId="14" hidden="1">'Компактные установки'!$B$10:$C$15</definedName>
    <definedName name="Z_2BA56ECA_30F6_456D_AB26_04DD1698A098_.wvu.FilterData" localSheetId="17" hidden="1">Нагреватели!$B$10:$C$120</definedName>
    <definedName name="Z_2BA56ECA_30F6_456D_AB26_04DD1698A098_.wvu.FilterData" localSheetId="18" hidden="1">Охладители!$B$11:$C$84</definedName>
    <definedName name="Z_2BA56ECA_30F6_456D_AB26_04DD1698A098_.wvu.FilterData" localSheetId="16" hidden="1">Принадлежности!$B$11:$C$107</definedName>
    <definedName name="Z_2BA56ECA_30F6_456D_AB26_04DD1698A098_.wvu.FilterData" localSheetId="19" hidden="1">Рекуператоры!$B$11:$C$17</definedName>
    <definedName name="Z_2BA56ECA_30F6_456D_AB26_04DD1698A098_.wvu.FilterData" localSheetId="20" hidden="1">Фильтры!$B$11:$C$108</definedName>
    <definedName name="Z_2BA56ECA_30F6_456D_AB26_04DD1698A098_.wvu.FilterData" localSheetId="22" hidden="1">Шумоглушители!$B$12:$C$44</definedName>
    <definedName name="Z_2BA56ECA_30F6_456D_AB26_04DD1698A098_.wvu.PrintArea" localSheetId="15" hidden="1">Вентиляторы!$A$6:$C$120</definedName>
    <definedName name="Z_2BA56ECA_30F6_456D_AB26_04DD1698A098_.wvu.PrintArea" localSheetId="21" hidden="1">Заслонки!$A$6:$C$68</definedName>
    <definedName name="Z_2BA56ECA_30F6_456D_AB26_04DD1698A098_.wvu.PrintArea" localSheetId="14" hidden="1">'Компактные установки'!$A:$C</definedName>
    <definedName name="Z_2BA56ECA_30F6_456D_AB26_04DD1698A098_.wvu.PrintArea" localSheetId="17" hidden="1">Нагреватели!$A$7:$C$159</definedName>
    <definedName name="Z_2BA56ECA_30F6_456D_AB26_04DD1698A098_.wvu.PrintArea" localSheetId="0" hidden="1">Оглавление!$A$9:$AF$45</definedName>
    <definedName name="Z_2BA56ECA_30F6_456D_AB26_04DD1698A098_.wvu.PrintArea" localSheetId="18" hidden="1">Охладители!$A$8:$C$87</definedName>
    <definedName name="Z_2BA56ECA_30F6_456D_AB26_04DD1698A098_.wvu.PrintArea" localSheetId="16" hidden="1">Принадлежности!$A$7:$C$122</definedName>
    <definedName name="Z_2BA56ECA_30F6_456D_AB26_04DD1698A098_.wvu.PrintArea" localSheetId="19" hidden="1">Рекуператоры!$A$7:$C$22</definedName>
    <definedName name="Z_2BA56ECA_30F6_456D_AB26_04DD1698A098_.wvu.PrintArea" localSheetId="20" hidden="1">Фильтры!$A$7:$C$122</definedName>
    <definedName name="Z_2BA56ECA_30F6_456D_AB26_04DD1698A098_.wvu.PrintArea" localSheetId="22" hidden="1">Шумоглушители!$A$6:$C$47</definedName>
    <definedName name="Z_5A5779A6_0890_42BE_BFB7_F949D7F87F0D_.wvu.FilterData" localSheetId="14" hidden="1">'Компактные установки'!$B$10:$C$15</definedName>
    <definedName name="Z_68E73805_0A76_4B98_A305_6D021EBA72DC_.wvu.FilterData" localSheetId="14" hidden="1">'Компактные установки'!$B$10:$C$15</definedName>
    <definedName name="Z_84D8C949_BE75_48C7_9284_15C46C6F225B_.wvu.FilterData" localSheetId="14" hidden="1">'Компактные установки'!$B$10:$C$15</definedName>
    <definedName name="Задача_Вентилятор">ПП_Расчет!$B$39</definedName>
    <definedName name="Задача_ВентиляторEC">ПП_Расчет!$B$41</definedName>
    <definedName name="Задача_ВентиляторECТекст">#REF!</definedName>
    <definedName name="Задача_ВентиляторГибкиеВставки">ПП_Расчет!$B$52</definedName>
    <definedName name="Задача_ВентиляторШумоизоляция">ПП_Расчет!$B$40</definedName>
    <definedName name="Задача_ВентиляторШумоизоляцияТекст">#REF!</definedName>
    <definedName name="Задача_Допуск">#REF!</definedName>
    <definedName name="Задача_Заслонка">ПП_Расчет!$B$24</definedName>
    <definedName name="Задача_ЗаслонкаТип">ПП_Расчет!$B$25</definedName>
    <definedName name="Задача_Нагреватель">ПП_Расчет!$B$57</definedName>
    <definedName name="Задача_НагревательЗапасМощности">ПП_Расчет!$B$64</definedName>
    <definedName name="Задача_НагревательИсточникТемпер">ПП_Расчет!$B$61</definedName>
    <definedName name="Задача_НагревательИсточникТемперТекст">ПП_Расчет!$B$60</definedName>
    <definedName name="Задача_НагревательТеплоноситель">ПП_Расчет!$B$63</definedName>
    <definedName name="Задача_НагревательТип">ПП_Расчет!$B$59</definedName>
    <definedName name="Задача_НагревательТипТекст">ПП_Расчет!$B$58</definedName>
    <definedName name="Задача_Напор">#REF!</definedName>
    <definedName name="Задача_ПроизводительЛюбой">ПП_Расчет!$B$42</definedName>
    <definedName name="Задача_ПроизводительТекст">#REF!</definedName>
    <definedName name="Задача_Размер">#REF!</definedName>
    <definedName name="Задача_РазмерОшибка">ПП_Расчет!$B$9</definedName>
    <definedName name="Задача_РазмерСписок">ПП_Расчет!$B$10:$B$19</definedName>
    <definedName name="Задача_Расход">#REF!</definedName>
    <definedName name="Задача_Регион">#REF!</definedName>
    <definedName name="Задача_Рекуператор">ПП_Расчет!$B$72</definedName>
    <definedName name="Задача_ТемператураПомещенияЗима">ПП_Расчет!$B$7</definedName>
    <definedName name="Задача_ТемператураЦелевая">#REF!</definedName>
    <definedName name="Задача_ТемпратураНаружная">ПП_Расчет!$B$6</definedName>
    <definedName name="Задача_Тип">ПП_Расчет!$B$1</definedName>
    <definedName name="Задача_ТипКод">ПП_Расчет!$B$3</definedName>
    <definedName name="Задача_ТипСокр">ПП_Расчет!$B$4</definedName>
    <definedName name="Задача_ТипТекст">ПП_Расчет!$B$2</definedName>
    <definedName name="Задача_Фильтр">ПП_Расчет!$B$29</definedName>
    <definedName name="Задача_ФильтрТип">ПП_Расчет!$B$30</definedName>
    <definedName name="Задача_Шумоглушитель">ПП_Расчет!$B$34</definedName>
    <definedName name="Задача_ШумоглушительДлина">ПП_Расчет!$B$35</definedName>
    <definedName name="Значение_NA">Данные!$A$12</definedName>
    <definedName name="Значение_Авто">Данные!$A$18</definedName>
    <definedName name="Значение_ВСоставеУстановки">Данные!$A$36</definedName>
    <definedName name="Значение_НД">Данные!$A$15</definedName>
    <definedName name="Курс_EUR">Данные!$A$8</definedName>
    <definedName name="Курс_RUB">Данные!$A$7</definedName>
    <definedName name="Курс_USD">Данные!$A$9</definedName>
    <definedName name="_xlnm.Print_Area" localSheetId="15">Вентиляторы!$A$6:$C$119</definedName>
    <definedName name="_xlnm.Print_Area" localSheetId="21">Заслонки!$B$6:$C$67</definedName>
    <definedName name="_xlnm.Print_Area" localSheetId="14">'Компактные установки'!$A$6:$C$29</definedName>
    <definedName name="_xlnm.Print_Area" localSheetId="17">Нагреватели!$A$7:$C$159</definedName>
    <definedName name="_xlnm.Print_Area" localSheetId="0">Оглавление!$A$9:$AF$45</definedName>
    <definedName name="_xlnm.Print_Area" localSheetId="18">Охладители!$A$8:$C$86</definedName>
    <definedName name="_xlnm.Print_Area" localSheetId="16">Принадлежности!$A$7:$C$122</definedName>
    <definedName name="_xlnm.Print_Area" localSheetId="19">Рекуператоры!$B$7:$C$21</definedName>
    <definedName name="_xlnm.Print_Area" localSheetId="20">Фильтры!$A$7:$C$121</definedName>
    <definedName name="_xlnm.Print_Area" localSheetId="22">Шумоглушители!$A$6:$C$46</definedName>
    <definedName name="Оборудование_Вентиляторы">ПП_Оборудование!$A$1</definedName>
    <definedName name="Оборудование_ГибкиеВставки">ПП_Оборудование!$A$120</definedName>
    <definedName name="Оборудование_Заслонки">ПП_Оборудование!$A$179</definedName>
    <definedName name="Оборудование_ЗаслонкиПроверка">ПП_Оборудование!$I$181:$I$210</definedName>
    <definedName name="Оборудование_Нагреватели">ПП_Оборудование!$A$285</definedName>
    <definedName name="Оборудование_РегуляторыСкорости">ПП_Оборудование!$A$138</definedName>
    <definedName name="Оборудование_Рекуператоры">ПП_Оборудование!$A$368</definedName>
    <definedName name="Оборудование_Фильтры">ПП_Оборудование!$A$212</definedName>
    <definedName name="Оборудование_ФильтрыПроверка">ПП_Оборудование!$I$214:$I$249</definedName>
    <definedName name="Оборудование_Шумоглушители">ПП_Оборудование!$A$251</definedName>
    <definedName name="Оборудование_ШумоглушителиПроверка">ПП_Оборудование!$I$253:$I$283</definedName>
    <definedName name="Ошибка_НесовместныйПодбор">Данные!$A$42</definedName>
    <definedName name="Ошибка_ПодборНевозможен">Данные!$A$39</definedName>
    <definedName name="Прайс_Версия">Данные!$B$4</definedName>
    <definedName name="Прайс_Дата">Данные!$B$5</definedName>
    <definedName name="Приток_ВентиляторАвтоматика">ПП_Расчет!$B$54</definedName>
    <definedName name="Приток_ВентиляторАвтоматикаРезультат">ПП_Расчет!$B$55</definedName>
    <definedName name="Приток_ВентиляторГибкиеВставкиРезультат">ПП_Расчет!$B$53</definedName>
    <definedName name="Приток_ВесВсего">ПП_Предложение!$K$2</definedName>
    <definedName name="Приток_ДлинаВсего">ПП_Предложение!$J$2</definedName>
    <definedName name="Приток_РекуператорПроверкаРасхода">ПП_Рекуператор!$B$4</definedName>
    <definedName name="Производитель_Европа">Данные!$A$88</definedName>
    <definedName name="Производитель_Россия">Данные!$A$89</definedName>
    <definedName name="Расчет_ВентиляторВариант">ПП_Расчет!$B$49</definedName>
    <definedName name="Расчет_ВентиляторВариантТекст">#REF!</definedName>
    <definedName name="Расчет_ВентиляторВарианты1">ПП_Расчет!$B$43</definedName>
    <definedName name="Расчет_ВентиляторВарианты2">ПП_Расчет!$B$44</definedName>
    <definedName name="Расчет_ВентиляторВарианты3">ПП_Расчет!$B$45</definedName>
    <definedName name="Расчет_ВентиляторВарианты4">ПП_Расчет!$B$46</definedName>
    <definedName name="Расчет_ВентиляторВарианты5">ПП_Расчет!$B$47</definedName>
    <definedName name="Расчет_ВентиляторРезультат">ПП_Расчет!$B$50</definedName>
    <definedName name="Расчет_ВентиляторРезультатИсточникОшибки">ПП_Расчет!$B$51</definedName>
    <definedName name="Расчет_ЗаслонкаРезультат">ПП_Расчет!$B$26</definedName>
    <definedName name="Расчет_ЗаслонкаРезультатИсточникОшибки">ПП_Расчет!$B$27</definedName>
    <definedName name="Расчет_НагревательМаксимальнаяТемпература">ПП_Расчет!$B$68</definedName>
    <definedName name="Расчет_НагревательРасчетнаяМощность">ПП_Расчет!$B$65</definedName>
    <definedName name="Расчет_НагревательРезультат">ПП_Расчет!$B$69</definedName>
    <definedName name="Расчет_НагревательРезультатИсточникОшибки">ПП_Расчет!$B$70</definedName>
    <definedName name="Расчет_НагревательРезультатПолнаяМощность">ПП_Расчет!$B$66</definedName>
    <definedName name="Расчет_НагревательТемператураВход">ПП_Расчет!$B$67</definedName>
    <definedName name="Расчет_НапорПриток">ПП_ГрафПриток!$C$48</definedName>
    <definedName name="Расчет_РасходПриток">ПП_ГрафПриток!$B$48</definedName>
    <definedName name="Расчет_Результат">ПП_Расчет!$B$21</definedName>
    <definedName name="Расчет_РезультатРазмер">ПП_Расчет!$B$22</definedName>
    <definedName name="Расчет_РезультатТипоразмер">ПП_Расчет!$B$22</definedName>
    <definedName name="Расчет_РекуператорРезультат">ПП_Расчет!$B$73</definedName>
    <definedName name="Расчет_РекуператорРезультатИсточникОшибки">ПП_Расчет!$B$74</definedName>
    <definedName name="Расчет_РекуператорРезультатМощность" localSheetId="1">ПП_Расчет!#REF!</definedName>
    <definedName name="Расчет_РекуператорРезультатМощность">ПП_Расчет!#REF!</definedName>
    <definedName name="Расчет_РекуператорРезультатТемпература" localSheetId="1">ПП_Расчет!#REF!</definedName>
    <definedName name="Расчет_РекуператорРезультатТемпература">ПП_Расчет!#REF!</definedName>
    <definedName name="Расчет_ФильтрРезультат">ПП_Расчет!$B$31</definedName>
    <definedName name="Расчет_ФильтрРезультатИсточникОшибки">ПП_Расчет!$B$32</definedName>
    <definedName name="Расчет_ШумоглушительРезультат">ПП_Расчет!$B$36</definedName>
    <definedName name="Расчет_ШумоглушительРезультатИсточникОшибки">ПП_Расчет!$B$37</definedName>
    <definedName name="Рекуператор_пропорция">ПП_Рекуператор!$F$6:$J$6</definedName>
    <definedName name="Система_Тип">ПП_Расчет!$B$1</definedName>
    <definedName name="Система_ТипКод">ПП_Расчет!$B$3</definedName>
    <definedName name="Система_ТипТекст">ПП_Расчет!$B$2</definedName>
    <definedName name="Скидка_Автоматика">Оглавление!#REF!</definedName>
    <definedName name="Скидка_Оборудование">Оглавление!#REF!</definedName>
    <definedName name="СкоростьMAX_Заслонка">Параметры!$C$2</definedName>
    <definedName name="СкоростьMAX_НагревательВодяной">Параметры!$C$6</definedName>
    <definedName name="СкоростьMAX_НагревательЭлектрический">Параметры!$C$5</definedName>
    <definedName name="СкоростьMAX_Рекуператор">Параметры!$C$7</definedName>
    <definedName name="СкоростьMAX_Фильтр">Параметры!$C$3</definedName>
    <definedName name="СкоростьMAX_Шумоглушитель">Параметры!$C$4</definedName>
    <definedName name="СкоростьMIN_Заслонка">Параметры!$B$2</definedName>
    <definedName name="СкоростьMIN_НагревательВодяной">Параметры!$B$6</definedName>
    <definedName name="СкоростьMIN_НагревательЭлектрический">Параметры!$B$5</definedName>
    <definedName name="СкоростьMIN_Рекуператор">Параметры!$B$7</definedName>
    <definedName name="СкоростьMIN_Фильтр">Параметры!$B$3</definedName>
    <definedName name="СкоростьMIN_Шумоглушитель">Параметры!$B$4</definedName>
    <definedName name="Список_АвтоматикаВентилятора">Данные!$A$92:$A$95</definedName>
    <definedName name="Список_АвтоматикаЗаслонки">Данные!$A$49:$A$51</definedName>
    <definedName name="Список_АвтоматикаФильтра">Данные!$A$61:$A$62</definedName>
    <definedName name="Список_Двигатель">Данные!$A$83:$A$84</definedName>
    <definedName name="Список_ДлинаГлушителя">Данные!$A$102:$A$103</definedName>
    <definedName name="Список_КлиматическаяЗона">Данные!$A$114:$B$192</definedName>
    <definedName name="Список_Корпус">Данные!$A$79:$A$80</definedName>
    <definedName name="Список_Производитель">Данные!$A$87:$A$89</definedName>
    <definedName name="Список_Размер_COMPACT_H">Данные!$H$21:$H$33</definedName>
    <definedName name="Список_Размер_COMPACT_P">Данные!$F$21:$F$33</definedName>
    <definedName name="Список_Размер_COMPACT_S">Данные!$E$21:$E$33</definedName>
    <definedName name="Список_Размер_COMPACT_V">Данные!$G$21:$G$33</definedName>
    <definedName name="Список_Размер_DUCT_C">Данные!$A$21:$A$33</definedName>
    <definedName name="Список_Размер_DUCT_T">Данные!$B$21:$B$33</definedName>
    <definedName name="Список_Размер_KITCHEN">Данные!$C$21:$C$33</definedName>
    <definedName name="Список_Размер_ROOF">Данные!$D$21:$D$33</definedName>
    <definedName name="Список_РазмерВытяжка">Данные!$B$21:$B$33</definedName>
    <definedName name="Список_РазмерПриток">Данные!$A$21:$A$33</definedName>
    <definedName name="Список_Регион">Данные!$A$114:$A$192</definedName>
    <definedName name="Список_ТемператураВходаНагревателя">Данные!$A$65:$A$66</definedName>
    <definedName name="Список_Теплоноситель">Данные!$A$73:$A$76</definedName>
    <definedName name="Список_ТипЗаслонки">Данные!$A$45:$A$46</definedName>
    <definedName name="Список_ТипНагревателя">Данные!$A$69:$A$70</definedName>
    <definedName name="Список_ТипФильтра">Данные!$A$54:$A$58</definedName>
  </definedNames>
  <calcPr calcId="162913" refMode="R1C1"/>
  <customWorkbookViews>
    <customWorkbookView name="Музыкус Андрей Михайлович - Личное представление" guid="{0C99ABE2-728B-4C30-A993-CD651C64FAAE}" mergeInterval="0" personalView="1" maximized="1" windowWidth="1916" windowHeight="857" tabRatio="931" activeSheetId="26"/>
    <customWorkbookView name="Жолудев Сергей Игоревич - Личное представление" guid="{2BA56ECA-30F6-456D-AB26-04DD1698A098}" mergeInterval="0" personalView="1" maximized="1" windowWidth="1916" windowHeight="857" tabRatio="931" activeSheetId="2"/>
  </customWorkbookViews>
</workbook>
</file>

<file path=xl/calcChain.xml><?xml version="1.0" encoding="utf-8"?>
<calcChain xmlns="http://schemas.openxmlformats.org/spreadsheetml/2006/main">
  <c r="L181" i="10" l="1"/>
  <c r="M181" i="10"/>
  <c r="G181" i="10" s="1"/>
  <c r="L182" i="10"/>
  <c r="M182" i="10"/>
  <c r="G182" i="10" s="1"/>
  <c r="L183" i="10"/>
  <c r="M183" i="10"/>
  <c r="G183" i="10" s="1"/>
  <c r="L184" i="10"/>
  <c r="M184" i="10"/>
  <c r="G184" i="10" s="1"/>
  <c r="L185" i="10"/>
  <c r="M185" i="10"/>
  <c r="G185" i="10" s="1"/>
  <c r="L186" i="10"/>
  <c r="M186" i="10"/>
  <c r="G186" i="10" s="1"/>
  <c r="L187" i="10"/>
  <c r="M187" i="10"/>
  <c r="G187" i="10"/>
  <c r="L188" i="10"/>
  <c r="M188" i="10"/>
  <c r="G188" i="10" s="1"/>
  <c r="L189" i="10"/>
  <c r="M189" i="10"/>
  <c r="G189" i="10"/>
  <c r="L190" i="10"/>
  <c r="M190" i="10"/>
  <c r="G190" i="10" s="1"/>
  <c r="L191" i="10"/>
  <c r="M191" i="10"/>
  <c r="G191" i="10" s="1"/>
  <c r="L192" i="10"/>
  <c r="M192" i="10"/>
  <c r="G192" i="10" s="1"/>
  <c r="L193" i="10"/>
  <c r="M193" i="10"/>
  <c r="G193" i="10" s="1"/>
  <c r="L194" i="10"/>
  <c r="M194" i="10"/>
  <c r="G194" i="10" s="1"/>
  <c r="L195" i="10"/>
  <c r="M195" i="10"/>
  <c r="G195" i="10" s="1"/>
  <c r="L196" i="10"/>
  <c r="M196" i="10"/>
  <c r="G196" i="10" s="1"/>
  <c r="L197" i="10"/>
  <c r="M197" i="10"/>
  <c r="G197" i="10" s="1"/>
  <c r="L198" i="10"/>
  <c r="M198" i="10"/>
  <c r="G198" i="10" s="1"/>
  <c r="L199" i="10"/>
  <c r="M199" i="10"/>
  <c r="G199" i="10" s="1"/>
  <c r="L200" i="10"/>
  <c r="M200" i="10"/>
  <c r="G200" i="10" s="1"/>
  <c r="L201" i="10"/>
  <c r="M201" i="10"/>
  <c r="G201" i="10"/>
  <c r="L202" i="10"/>
  <c r="M202" i="10"/>
  <c r="G202" i="10"/>
  <c r="L203" i="10"/>
  <c r="M203" i="10"/>
  <c r="G203" i="10" s="1"/>
  <c r="L204" i="10"/>
  <c r="M204" i="10"/>
  <c r="G204" i="10" s="1"/>
  <c r="L205" i="10"/>
  <c r="M205" i="10"/>
  <c r="G205" i="10" s="1"/>
  <c r="L206" i="10"/>
  <c r="M206" i="10"/>
  <c r="G206" i="10" s="1"/>
  <c r="L207" i="10"/>
  <c r="M207" i="10"/>
  <c r="G207" i="10" s="1"/>
  <c r="L208" i="10"/>
  <c r="M208" i="10"/>
  <c r="G208" i="10" s="1"/>
  <c r="L209" i="10"/>
  <c r="M209" i="10"/>
  <c r="G209" i="10" s="1"/>
  <c r="L210" i="10"/>
  <c r="M210" i="10"/>
  <c r="G210" i="10" s="1"/>
  <c r="B3" i="9"/>
  <c r="H253" i="10"/>
  <c r="AN3" i="10"/>
  <c r="AO3" i="10"/>
  <c r="AP3" i="10"/>
  <c r="AQ3" i="10"/>
  <c r="AR3" i="10"/>
  <c r="AS3" i="10"/>
  <c r="M3" i="10"/>
  <c r="AU3" i="10"/>
  <c r="AN4" i="10"/>
  <c r="AO4" i="10"/>
  <c r="AP4" i="10"/>
  <c r="AQ4" i="10"/>
  <c r="AR4" i="10"/>
  <c r="AS4" i="10"/>
  <c r="M4" i="10"/>
  <c r="AU4" i="10"/>
  <c r="AN5" i="10"/>
  <c r="AO5" i="10"/>
  <c r="AP5" i="10"/>
  <c r="AQ5" i="10"/>
  <c r="AR5" i="10"/>
  <c r="AS5" i="10"/>
  <c r="M5" i="10"/>
  <c r="AU5" i="10"/>
  <c r="AN6" i="10"/>
  <c r="AO6" i="10"/>
  <c r="AP6" i="10"/>
  <c r="AQ6" i="10"/>
  <c r="AR6" i="10"/>
  <c r="AS6" i="10"/>
  <c r="M6" i="10"/>
  <c r="AU6" i="10"/>
  <c r="AN7" i="10"/>
  <c r="AO7" i="10"/>
  <c r="AP7" i="10"/>
  <c r="AQ7" i="10"/>
  <c r="AR7" i="10"/>
  <c r="AS7" i="10"/>
  <c r="M7" i="10"/>
  <c r="AU7" i="10"/>
  <c r="AN8" i="10"/>
  <c r="AO8" i="10"/>
  <c r="AP8" i="10"/>
  <c r="AQ8" i="10"/>
  <c r="AR8" i="10"/>
  <c r="AS8" i="10"/>
  <c r="M8" i="10"/>
  <c r="AU8" i="10"/>
  <c r="AN9" i="10"/>
  <c r="AO9" i="10"/>
  <c r="AP9" i="10"/>
  <c r="AQ9" i="10"/>
  <c r="AR9" i="10"/>
  <c r="AS9" i="10"/>
  <c r="M9" i="10"/>
  <c r="AU9" i="10"/>
  <c r="AN10" i="10"/>
  <c r="AO10" i="10"/>
  <c r="AP10" i="10"/>
  <c r="AQ10" i="10"/>
  <c r="AR10" i="10"/>
  <c r="AS10" i="10"/>
  <c r="M10" i="10"/>
  <c r="AU10" i="10"/>
  <c r="AN11" i="10"/>
  <c r="AO11" i="10"/>
  <c r="AP11" i="10"/>
  <c r="AQ11" i="10"/>
  <c r="AR11" i="10"/>
  <c r="AS11" i="10"/>
  <c r="M11" i="10"/>
  <c r="AU11" i="10"/>
  <c r="AN12" i="10"/>
  <c r="AO12" i="10"/>
  <c r="AP12" i="10"/>
  <c r="AQ12" i="10"/>
  <c r="AR12" i="10"/>
  <c r="AS12" i="10"/>
  <c r="M12" i="10"/>
  <c r="AU12" i="10"/>
  <c r="AN13" i="10"/>
  <c r="AO13" i="10"/>
  <c r="AP13" i="10"/>
  <c r="AQ13" i="10"/>
  <c r="AR13" i="10"/>
  <c r="AS13" i="10"/>
  <c r="M13" i="10"/>
  <c r="AU13" i="10"/>
  <c r="AN14" i="10"/>
  <c r="AO14" i="10"/>
  <c r="AP14" i="10"/>
  <c r="AQ14" i="10"/>
  <c r="AR14" i="10"/>
  <c r="AS14" i="10"/>
  <c r="M14" i="10"/>
  <c r="AU14" i="10"/>
  <c r="AN15" i="10"/>
  <c r="AO15" i="10"/>
  <c r="AP15" i="10"/>
  <c r="AQ15" i="10"/>
  <c r="AR15" i="10"/>
  <c r="AS15" i="10"/>
  <c r="M15" i="10"/>
  <c r="AU15" i="10"/>
  <c r="AN16" i="10"/>
  <c r="AO16" i="10"/>
  <c r="AP16" i="10"/>
  <c r="AQ16" i="10"/>
  <c r="AR16" i="10"/>
  <c r="AS16" i="10"/>
  <c r="M16" i="10"/>
  <c r="AU16" i="10"/>
  <c r="AN17" i="10"/>
  <c r="AO17" i="10"/>
  <c r="AP17" i="10"/>
  <c r="AQ17" i="10"/>
  <c r="AR17" i="10"/>
  <c r="AS17" i="10"/>
  <c r="M17" i="10"/>
  <c r="AU17" i="10"/>
  <c r="AN18" i="10"/>
  <c r="AO18" i="10"/>
  <c r="AP18" i="10"/>
  <c r="AQ18" i="10"/>
  <c r="AR18" i="10"/>
  <c r="AS18" i="10"/>
  <c r="M18" i="10"/>
  <c r="AU18" i="10"/>
  <c r="AN19" i="10"/>
  <c r="AO19" i="10"/>
  <c r="AP19" i="10"/>
  <c r="AQ19" i="10"/>
  <c r="AR19" i="10"/>
  <c r="AS19" i="10"/>
  <c r="M19" i="10"/>
  <c r="AU19" i="10"/>
  <c r="AD187" i="10"/>
  <c r="AE187" i="10" s="1"/>
  <c r="L214" i="10"/>
  <c r="M214" i="10"/>
  <c r="G214" i="10" s="1"/>
  <c r="B30" i="9"/>
  <c r="L215" i="10"/>
  <c r="M215" i="10"/>
  <c r="G215" i="10" s="1"/>
  <c r="L216" i="10"/>
  <c r="M216" i="10"/>
  <c r="G216" i="10" s="1"/>
  <c r="L217" i="10"/>
  <c r="M217" i="10"/>
  <c r="G217" i="10" s="1"/>
  <c r="L218" i="10"/>
  <c r="M218" i="10"/>
  <c r="G218" i="10" s="1"/>
  <c r="L219" i="10"/>
  <c r="M219" i="10"/>
  <c r="G219" i="10" s="1"/>
  <c r="L220" i="10"/>
  <c r="M220" i="10"/>
  <c r="G220" i="10" s="1"/>
  <c r="L221" i="10"/>
  <c r="M221" i="10"/>
  <c r="G221" i="10" s="1"/>
  <c r="L222" i="10"/>
  <c r="M222" i="10"/>
  <c r="G222" i="10" s="1"/>
  <c r="I222" i="10" s="1"/>
  <c r="L223" i="10"/>
  <c r="M223" i="10"/>
  <c r="G223" i="10"/>
  <c r="L224" i="10"/>
  <c r="M224" i="10"/>
  <c r="G224" i="10" s="1"/>
  <c r="L225" i="10"/>
  <c r="M225" i="10"/>
  <c r="G225" i="10" s="1"/>
  <c r="L226" i="10"/>
  <c r="M226" i="10"/>
  <c r="G226" i="10" s="1"/>
  <c r="L227" i="10"/>
  <c r="M227" i="10"/>
  <c r="G227" i="10" s="1"/>
  <c r="L228" i="10"/>
  <c r="M228" i="10"/>
  <c r="G228" i="10" s="1"/>
  <c r="I228" i="10" s="1"/>
  <c r="L229" i="10"/>
  <c r="M229" i="10"/>
  <c r="G229" i="10"/>
  <c r="L230" i="10"/>
  <c r="M230" i="10"/>
  <c r="G230" i="10" s="1"/>
  <c r="L231" i="10"/>
  <c r="M231" i="10"/>
  <c r="G231" i="10"/>
  <c r="L232" i="10"/>
  <c r="M232" i="10"/>
  <c r="G232" i="10" s="1"/>
  <c r="I232" i="10" s="1"/>
  <c r="L233" i="10"/>
  <c r="M233" i="10"/>
  <c r="G233" i="10"/>
  <c r="L234" i="10"/>
  <c r="M234" i="10"/>
  <c r="G234" i="10" s="1"/>
  <c r="L235" i="10"/>
  <c r="M235" i="10"/>
  <c r="G235" i="10" s="1"/>
  <c r="L236" i="10"/>
  <c r="M236" i="10"/>
  <c r="G236" i="10" s="1"/>
  <c r="L237" i="10"/>
  <c r="M237" i="10"/>
  <c r="G237" i="10" s="1"/>
  <c r="L238" i="10"/>
  <c r="M238" i="10"/>
  <c r="G238" i="10" s="1"/>
  <c r="I238" i="10" s="1"/>
  <c r="L239" i="10"/>
  <c r="M239" i="10"/>
  <c r="G239" i="10" s="1"/>
  <c r="L240" i="10"/>
  <c r="M240" i="10"/>
  <c r="G240" i="10" s="1"/>
  <c r="L241" i="10"/>
  <c r="M241" i="10"/>
  <c r="G241" i="10"/>
  <c r="L242" i="10"/>
  <c r="M242" i="10"/>
  <c r="G242" i="10" s="1"/>
  <c r="L243" i="10"/>
  <c r="M243" i="10"/>
  <c r="G243" i="10"/>
  <c r="L244" i="10"/>
  <c r="M244" i="10"/>
  <c r="G244" i="10" s="1"/>
  <c r="I244" i="10" s="1"/>
  <c r="L245" i="10"/>
  <c r="M245" i="10"/>
  <c r="G245" i="10" s="1"/>
  <c r="I245" i="10" s="1"/>
  <c r="L246" i="10"/>
  <c r="M246" i="10"/>
  <c r="G246" i="10" s="1"/>
  <c r="L247" i="10"/>
  <c r="M247" i="10"/>
  <c r="G247" i="10"/>
  <c r="L248" i="10"/>
  <c r="M248" i="10"/>
  <c r="G248" i="10" s="1"/>
  <c r="I248" i="10" s="1"/>
  <c r="L249" i="10"/>
  <c r="M249" i="10"/>
  <c r="G249" i="10"/>
  <c r="AA223" i="10"/>
  <c r="AB223" i="10" s="1"/>
  <c r="H223" i="10" s="1"/>
  <c r="L287" i="10"/>
  <c r="B60" i="9"/>
  <c r="B61" i="9" s="1"/>
  <c r="B6" i="9"/>
  <c r="M287" i="10"/>
  <c r="G287" i="10" s="1"/>
  <c r="B58" i="9"/>
  <c r="B59" i="9" s="1"/>
  <c r="L288" i="10"/>
  <c r="M288" i="10"/>
  <c r="G288" i="10" s="1"/>
  <c r="L289" i="10"/>
  <c r="M289" i="10"/>
  <c r="G289" i="10" s="1"/>
  <c r="L290" i="10"/>
  <c r="M290" i="10"/>
  <c r="G290" i="10" s="1"/>
  <c r="L291" i="10"/>
  <c r="M291" i="10"/>
  <c r="G291" i="10" s="1"/>
  <c r="L292" i="10"/>
  <c r="M292" i="10"/>
  <c r="G292" i="10" s="1"/>
  <c r="L293" i="10"/>
  <c r="M293" i="10"/>
  <c r="G293" i="10" s="1"/>
  <c r="L294" i="10"/>
  <c r="M294" i="10"/>
  <c r="G294" i="10" s="1"/>
  <c r="L295" i="10"/>
  <c r="M295" i="10"/>
  <c r="G295" i="10" s="1"/>
  <c r="L296" i="10"/>
  <c r="M296" i="10"/>
  <c r="G296" i="10"/>
  <c r="L297" i="10"/>
  <c r="M297" i="10"/>
  <c r="G297" i="10" s="1"/>
  <c r="L298" i="10"/>
  <c r="M298" i="10"/>
  <c r="G298" i="10" s="1"/>
  <c r="L299" i="10"/>
  <c r="M299" i="10"/>
  <c r="G299" i="10" s="1"/>
  <c r="L300" i="10"/>
  <c r="M300" i="10"/>
  <c r="G300" i="10" s="1"/>
  <c r="L301" i="10"/>
  <c r="M301" i="10"/>
  <c r="G301" i="10" s="1"/>
  <c r="L302" i="10"/>
  <c r="M302" i="10"/>
  <c r="G302" i="10"/>
  <c r="L303" i="10"/>
  <c r="M303" i="10"/>
  <c r="G303" i="10" s="1"/>
  <c r="L304" i="10"/>
  <c r="M304" i="10"/>
  <c r="G304" i="10" s="1"/>
  <c r="L305" i="10"/>
  <c r="M305" i="10"/>
  <c r="G305" i="10" s="1"/>
  <c r="L306" i="10"/>
  <c r="M306" i="10"/>
  <c r="G306" i="10" s="1"/>
  <c r="L307" i="10"/>
  <c r="M307" i="10"/>
  <c r="G307" i="10"/>
  <c r="L308" i="10"/>
  <c r="M308" i="10"/>
  <c r="G308" i="10"/>
  <c r="L309" i="10"/>
  <c r="M309" i="10"/>
  <c r="G309" i="10" s="1"/>
  <c r="L310" i="10"/>
  <c r="M310" i="10"/>
  <c r="G310" i="10" s="1"/>
  <c r="L311" i="10"/>
  <c r="M311" i="10"/>
  <c r="G311" i="10" s="1"/>
  <c r="L312" i="10"/>
  <c r="M312" i="10"/>
  <c r="G312" i="10"/>
  <c r="L313" i="10"/>
  <c r="M313" i="10"/>
  <c r="G313" i="10" s="1"/>
  <c r="L314" i="10"/>
  <c r="M314" i="10"/>
  <c r="G314" i="10" s="1"/>
  <c r="L315" i="10"/>
  <c r="M315" i="10"/>
  <c r="G315" i="10"/>
  <c r="L316" i="10"/>
  <c r="M316" i="10"/>
  <c r="G316" i="10" s="1"/>
  <c r="L317" i="10"/>
  <c r="B4" i="13"/>
  <c r="M317" i="10"/>
  <c r="G317" i="10" s="1"/>
  <c r="L318" i="10"/>
  <c r="B23" i="13"/>
  <c r="M318" i="10"/>
  <c r="G318" i="10" s="1"/>
  <c r="L319" i="10"/>
  <c r="M319" i="10"/>
  <c r="G319" i="10" s="1"/>
  <c r="L320" i="10"/>
  <c r="M320" i="10"/>
  <c r="G320" i="10" s="1"/>
  <c r="L321" i="10"/>
  <c r="M321" i="10"/>
  <c r="G321" i="10" s="1"/>
  <c r="L322" i="10"/>
  <c r="M322" i="10"/>
  <c r="G322" i="10" s="1"/>
  <c r="L323" i="10"/>
  <c r="B42" i="13"/>
  <c r="M323" i="10"/>
  <c r="G323" i="10" s="1"/>
  <c r="L324" i="10"/>
  <c r="B61" i="13"/>
  <c r="M324" i="10"/>
  <c r="G324" i="10"/>
  <c r="L325" i="10"/>
  <c r="M325" i="10"/>
  <c r="G325" i="10" s="1"/>
  <c r="L326" i="10"/>
  <c r="M326" i="10"/>
  <c r="G326" i="10" s="1"/>
  <c r="L327" i="10"/>
  <c r="M327" i="10"/>
  <c r="G327" i="10" s="1"/>
  <c r="L328" i="10"/>
  <c r="M328" i="10"/>
  <c r="G328" i="10" s="1"/>
  <c r="L329" i="10"/>
  <c r="B80" i="13"/>
  <c r="M329" i="10"/>
  <c r="G329" i="10" s="1"/>
  <c r="L330" i="10"/>
  <c r="B99" i="13"/>
  <c r="M330" i="10"/>
  <c r="G330" i="10" s="1"/>
  <c r="L331" i="10"/>
  <c r="M331" i="10"/>
  <c r="G331" i="10" s="1"/>
  <c r="L332" i="10"/>
  <c r="M332" i="10"/>
  <c r="G332" i="10" s="1"/>
  <c r="L333" i="10"/>
  <c r="M333" i="10"/>
  <c r="G333" i="10" s="1"/>
  <c r="L334" i="10"/>
  <c r="M334" i="10"/>
  <c r="G334" i="10" s="1"/>
  <c r="L335" i="10"/>
  <c r="B118" i="13"/>
  <c r="M335" i="10"/>
  <c r="G335" i="10"/>
  <c r="L336" i="10"/>
  <c r="B137" i="13"/>
  <c r="M336" i="10"/>
  <c r="G336" i="10" s="1"/>
  <c r="L337" i="10"/>
  <c r="M337" i="10"/>
  <c r="G337" i="10" s="1"/>
  <c r="L338" i="10"/>
  <c r="M338" i="10"/>
  <c r="G338" i="10"/>
  <c r="L339" i="10"/>
  <c r="M339" i="10"/>
  <c r="G339" i="10" s="1"/>
  <c r="L340" i="10"/>
  <c r="M340" i="10"/>
  <c r="G340" i="10" s="1"/>
  <c r="L341" i="10"/>
  <c r="B156" i="13"/>
  <c r="M341" i="10"/>
  <c r="G341" i="10" s="1"/>
  <c r="L342" i="10"/>
  <c r="B175" i="13"/>
  <c r="M342" i="10"/>
  <c r="G342" i="10"/>
  <c r="L343" i="10"/>
  <c r="M343" i="10"/>
  <c r="G343" i="10" s="1"/>
  <c r="L344" i="10"/>
  <c r="M344" i="10"/>
  <c r="G344" i="10" s="1"/>
  <c r="L345" i="10"/>
  <c r="M345" i="10"/>
  <c r="G345" i="10" s="1"/>
  <c r="L346" i="10"/>
  <c r="M346" i="10"/>
  <c r="G346" i="10" s="1"/>
  <c r="L347" i="10"/>
  <c r="B194" i="13"/>
  <c r="M347" i="10"/>
  <c r="G347" i="10" s="1"/>
  <c r="L348" i="10"/>
  <c r="B213" i="13"/>
  <c r="M348" i="10"/>
  <c r="G348" i="10"/>
  <c r="L349" i="10"/>
  <c r="M349" i="10"/>
  <c r="G349" i="10" s="1"/>
  <c r="L350" i="10"/>
  <c r="M350" i="10"/>
  <c r="G350" i="10"/>
  <c r="L351" i="10"/>
  <c r="M351" i="10"/>
  <c r="G351" i="10" s="1"/>
  <c r="L352" i="10"/>
  <c r="M352" i="10"/>
  <c r="G352" i="10"/>
  <c r="L353" i="10"/>
  <c r="B232" i="13"/>
  <c r="M353" i="10"/>
  <c r="G353" i="10" s="1"/>
  <c r="L354" i="10"/>
  <c r="B251" i="13"/>
  <c r="M354" i="10"/>
  <c r="G354" i="10" s="1"/>
  <c r="L355" i="10"/>
  <c r="M355" i="10"/>
  <c r="G355" i="10" s="1"/>
  <c r="L356" i="10"/>
  <c r="M356" i="10"/>
  <c r="G356" i="10" s="1"/>
  <c r="L357" i="10"/>
  <c r="M357" i="10"/>
  <c r="G357" i="10" s="1"/>
  <c r="L358" i="10"/>
  <c r="M358" i="10"/>
  <c r="G358" i="10" s="1"/>
  <c r="L359" i="10"/>
  <c r="B270" i="13"/>
  <c r="M359" i="10"/>
  <c r="G359" i="10" s="1"/>
  <c r="L360" i="10"/>
  <c r="B289" i="13"/>
  <c r="M360" i="10"/>
  <c r="G360" i="10"/>
  <c r="L361" i="10"/>
  <c r="M361" i="10"/>
  <c r="G361" i="10" s="1"/>
  <c r="L362" i="10"/>
  <c r="M362" i="10"/>
  <c r="G362" i="10" s="1"/>
  <c r="L363" i="10"/>
  <c r="M363" i="10"/>
  <c r="G363" i="10" s="1"/>
  <c r="L364" i="10"/>
  <c r="M364" i="10"/>
  <c r="G364" i="10" s="1"/>
  <c r="L365" i="10"/>
  <c r="M365" i="10"/>
  <c r="G365" i="10" s="1"/>
  <c r="L366" i="10"/>
  <c r="M366" i="10"/>
  <c r="G366" i="10" s="1"/>
  <c r="AA298" i="10"/>
  <c r="L253" i="10"/>
  <c r="M253" i="10"/>
  <c r="G253" i="10" s="1"/>
  <c r="L254" i="10"/>
  <c r="M254" i="10"/>
  <c r="G254" i="10" s="1"/>
  <c r="L255" i="10"/>
  <c r="M255" i="10"/>
  <c r="G255" i="10" s="1"/>
  <c r="L256" i="10"/>
  <c r="M256" i="10"/>
  <c r="G256" i="10" s="1"/>
  <c r="L257" i="10"/>
  <c r="M257" i="10"/>
  <c r="G257" i="10" s="1"/>
  <c r="L258" i="10"/>
  <c r="M258" i="10"/>
  <c r="G258" i="10"/>
  <c r="L259" i="10"/>
  <c r="M259" i="10"/>
  <c r="G259" i="10" s="1"/>
  <c r="L260" i="10"/>
  <c r="M260" i="10"/>
  <c r="G260" i="10"/>
  <c r="L261" i="10"/>
  <c r="M261" i="10"/>
  <c r="G261" i="10" s="1"/>
  <c r="L262" i="10"/>
  <c r="M262" i="10"/>
  <c r="G262" i="10" s="1"/>
  <c r="L263" i="10"/>
  <c r="M263" i="10"/>
  <c r="G263" i="10" s="1"/>
  <c r="L264" i="10"/>
  <c r="M264" i="10"/>
  <c r="G264" i="10"/>
  <c r="L265" i="10"/>
  <c r="M265" i="10"/>
  <c r="G265" i="10" s="1"/>
  <c r="L266" i="10"/>
  <c r="M266" i="10"/>
  <c r="G266" i="10" s="1"/>
  <c r="L267" i="10"/>
  <c r="M267" i="10"/>
  <c r="G267" i="10" s="1"/>
  <c r="L268" i="10"/>
  <c r="M268" i="10"/>
  <c r="G268" i="10"/>
  <c r="L269" i="10"/>
  <c r="M269" i="10"/>
  <c r="G269" i="10" s="1"/>
  <c r="L270" i="10"/>
  <c r="M270" i="10"/>
  <c r="G270" i="10" s="1"/>
  <c r="L271" i="10"/>
  <c r="M271" i="10"/>
  <c r="G271" i="10" s="1"/>
  <c r="L272" i="10"/>
  <c r="M272" i="10"/>
  <c r="G272" i="10" s="1"/>
  <c r="L273" i="10"/>
  <c r="M273" i="10"/>
  <c r="G273" i="10" s="1"/>
  <c r="L274" i="10"/>
  <c r="M274" i="10"/>
  <c r="G274" i="10"/>
  <c r="L275" i="10"/>
  <c r="M275" i="10"/>
  <c r="G275" i="10" s="1"/>
  <c r="L276" i="10"/>
  <c r="M276" i="10"/>
  <c r="G276" i="10" s="1"/>
  <c r="L277" i="10"/>
  <c r="M277" i="10"/>
  <c r="G277" i="10"/>
  <c r="L278" i="10"/>
  <c r="M278" i="10"/>
  <c r="G278" i="10" s="1"/>
  <c r="L279" i="10"/>
  <c r="M279" i="10"/>
  <c r="G279" i="10" s="1"/>
  <c r="L280" i="10"/>
  <c r="M280" i="10"/>
  <c r="G280" i="10" s="1"/>
  <c r="L281" i="10"/>
  <c r="M281" i="10"/>
  <c r="G281" i="10" s="1"/>
  <c r="L282" i="10"/>
  <c r="M282" i="10"/>
  <c r="G282" i="10" s="1"/>
  <c r="L283" i="10"/>
  <c r="M283" i="10"/>
  <c r="G283" i="10" s="1"/>
  <c r="H260" i="10"/>
  <c r="AN20" i="10"/>
  <c r="AO20" i="10"/>
  <c r="AP20" i="10"/>
  <c r="AQ20" i="10"/>
  <c r="AR20" i="10"/>
  <c r="AS20" i="10"/>
  <c r="M20" i="10"/>
  <c r="AU20" i="10"/>
  <c r="AN21" i="10"/>
  <c r="AO21" i="10"/>
  <c r="AP21" i="10"/>
  <c r="AQ21" i="10"/>
  <c r="AR21" i="10"/>
  <c r="AS21" i="10"/>
  <c r="M21" i="10"/>
  <c r="AU21" i="10"/>
  <c r="AN22" i="10"/>
  <c r="AO22" i="10"/>
  <c r="AP22" i="10"/>
  <c r="AQ22" i="10"/>
  <c r="AR22" i="10"/>
  <c r="AS22" i="10"/>
  <c r="M22" i="10"/>
  <c r="AU22" i="10"/>
  <c r="AN23" i="10"/>
  <c r="AO23" i="10"/>
  <c r="AP23" i="10"/>
  <c r="AQ23" i="10"/>
  <c r="AR23" i="10"/>
  <c r="AS23" i="10"/>
  <c r="M23" i="10"/>
  <c r="AU23" i="10"/>
  <c r="AN24" i="10"/>
  <c r="AO24" i="10"/>
  <c r="AP24" i="10"/>
  <c r="AQ24" i="10"/>
  <c r="AR24" i="10"/>
  <c r="AS24" i="10"/>
  <c r="M24" i="10"/>
  <c r="AU24" i="10"/>
  <c r="AN25" i="10"/>
  <c r="AO25" i="10"/>
  <c r="AP25" i="10"/>
  <c r="AQ25" i="10"/>
  <c r="AR25" i="10"/>
  <c r="AS25" i="10"/>
  <c r="M25" i="10"/>
  <c r="AU25" i="10"/>
  <c r="AN26" i="10"/>
  <c r="AO26" i="10"/>
  <c r="AP26" i="10"/>
  <c r="AQ26" i="10"/>
  <c r="AR26" i="10"/>
  <c r="AS26" i="10"/>
  <c r="M26" i="10"/>
  <c r="AU26" i="10"/>
  <c r="AD189" i="10"/>
  <c r="AE189" i="10"/>
  <c r="AA226" i="10"/>
  <c r="AB226" i="10" s="1"/>
  <c r="AA302" i="10"/>
  <c r="AB302" i="10"/>
  <c r="H302" i="10" s="1"/>
  <c r="H262" i="10"/>
  <c r="AN27" i="10"/>
  <c r="AO27" i="10"/>
  <c r="AP27" i="10"/>
  <c r="AQ27" i="10"/>
  <c r="AR27" i="10"/>
  <c r="AS27" i="10"/>
  <c r="M27" i="10"/>
  <c r="AU27" i="10"/>
  <c r="AN28" i="10"/>
  <c r="AO28" i="10"/>
  <c r="AP28" i="10"/>
  <c r="AQ28" i="10"/>
  <c r="AR28" i="10"/>
  <c r="AS28" i="10"/>
  <c r="M28" i="10"/>
  <c r="AU28" i="10"/>
  <c r="AN29" i="10"/>
  <c r="AO29" i="10"/>
  <c r="AP29" i="10"/>
  <c r="AQ29" i="10"/>
  <c r="AR29" i="10"/>
  <c r="AS29" i="10"/>
  <c r="M29" i="10"/>
  <c r="AU29" i="10"/>
  <c r="AN30" i="10"/>
  <c r="AO30" i="10"/>
  <c r="AP30" i="10"/>
  <c r="AQ30" i="10"/>
  <c r="AR30" i="10"/>
  <c r="AS30" i="10"/>
  <c r="M30" i="10"/>
  <c r="AU30" i="10"/>
  <c r="AN31" i="10"/>
  <c r="AO31" i="10"/>
  <c r="AP31" i="10"/>
  <c r="AQ31" i="10"/>
  <c r="AR31" i="10"/>
  <c r="AS31" i="10"/>
  <c r="M31" i="10"/>
  <c r="AU31" i="10"/>
  <c r="AN32" i="10"/>
  <c r="AO32" i="10"/>
  <c r="AP32" i="10"/>
  <c r="AQ32" i="10"/>
  <c r="AR32" i="10"/>
  <c r="AS32" i="10"/>
  <c r="M32" i="10"/>
  <c r="AU32" i="10"/>
  <c r="AN33" i="10"/>
  <c r="AO33" i="10"/>
  <c r="AP33" i="10"/>
  <c r="AQ33" i="10"/>
  <c r="AR33" i="10"/>
  <c r="AS33" i="10"/>
  <c r="M33" i="10"/>
  <c r="AU33" i="10"/>
  <c r="AN34" i="10"/>
  <c r="AO34" i="10"/>
  <c r="AP34" i="10"/>
  <c r="AQ34" i="10"/>
  <c r="AR34" i="10"/>
  <c r="AS34" i="10"/>
  <c r="M34" i="10"/>
  <c r="AU34" i="10"/>
  <c r="AD191" i="10"/>
  <c r="AE191" i="10" s="1"/>
  <c r="H191" i="10" s="1"/>
  <c r="AA229" i="10"/>
  <c r="AB229" i="10" s="1"/>
  <c r="AA307" i="10"/>
  <c r="AB307" i="10"/>
  <c r="H264" i="10"/>
  <c r="AN35" i="10"/>
  <c r="AO35" i="10"/>
  <c r="AP35" i="10"/>
  <c r="AQ35" i="10"/>
  <c r="AR35" i="10"/>
  <c r="AS35" i="10"/>
  <c r="M35" i="10"/>
  <c r="AU35" i="10"/>
  <c r="AN36" i="10"/>
  <c r="AO36" i="10"/>
  <c r="AP36" i="10"/>
  <c r="AQ36" i="10"/>
  <c r="AR36" i="10"/>
  <c r="AS36" i="10"/>
  <c r="M36" i="10"/>
  <c r="AU36" i="10"/>
  <c r="AN37" i="10"/>
  <c r="AO37" i="10"/>
  <c r="AP37" i="10"/>
  <c r="AQ37" i="10"/>
  <c r="AR37" i="10"/>
  <c r="AS37" i="10"/>
  <c r="M37" i="10"/>
  <c r="AU37" i="10"/>
  <c r="AN38" i="10"/>
  <c r="AO38" i="10"/>
  <c r="AP38" i="10"/>
  <c r="AQ38" i="10"/>
  <c r="AR38" i="10"/>
  <c r="AS38" i="10"/>
  <c r="M38" i="10"/>
  <c r="AU38" i="10"/>
  <c r="AN39" i="10"/>
  <c r="AO39" i="10"/>
  <c r="AP39" i="10"/>
  <c r="AQ39" i="10"/>
  <c r="AR39" i="10"/>
  <c r="AS39" i="10"/>
  <c r="M39" i="10"/>
  <c r="AU39" i="10"/>
  <c r="AN40" i="10"/>
  <c r="AO40" i="10"/>
  <c r="AP40" i="10"/>
  <c r="AQ40" i="10"/>
  <c r="AR40" i="10"/>
  <c r="AS40" i="10"/>
  <c r="M40" i="10"/>
  <c r="AU40" i="10"/>
  <c r="AN41" i="10"/>
  <c r="AO41" i="10"/>
  <c r="AP41" i="10"/>
  <c r="AQ41" i="10"/>
  <c r="AR41" i="10"/>
  <c r="AS41" i="10"/>
  <c r="M41" i="10"/>
  <c r="AU41" i="10"/>
  <c r="AD181" i="10"/>
  <c r="AA214" i="10"/>
  <c r="AB214" i="10" s="1"/>
  <c r="AA287" i="10"/>
  <c r="AB287" i="10" s="1"/>
  <c r="H265" i="10"/>
  <c r="AN42" i="10"/>
  <c r="AO42" i="10"/>
  <c r="AP42" i="10"/>
  <c r="AQ42" i="10"/>
  <c r="AR42" i="10"/>
  <c r="AS42" i="10"/>
  <c r="M42" i="10"/>
  <c r="AU42" i="10"/>
  <c r="AN43" i="10"/>
  <c r="AO43" i="10"/>
  <c r="AP43" i="10"/>
  <c r="AQ43" i="10"/>
  <c r="AR43" i="10"/>
  <c r="AS43" i="10"/>
  <c r="M43" i="10"/>
  <c r="AU43" i="10"/>
  <c r="H266" i="10"/>
  <c r="AN44" i="10"/>
  <c r="AO44" i="10"/>
  <c r="AP44" i="10"/>
  <c r="AQ44" i="10"/>
  <c r="AR44" i="10"/>
  <c r="AS44" i="10"/>
  <c r="M44" i="10"/>
  <c r="AU44" i="10"/>
  <c r="AN45" i="10"/>
  <c r="AO45" i="10"/>
  <c r="AP45" i="10"/>
  <c r="AQ45" i="10"/>
  <c r="AR45" i="10"/>
  <c r="AS45" i="10"/>
  <c r="M45" i="10"/>
  <c r="AU45" i="10"/>
  <c r="AN46" i="10"/>
  <c r="AO46" i="10"/>
  <c r="AP46" i="10"/>
  <c r="AQ46" i="10"/>
  <c r="AR46" i="10"/>
  <c r="AS46" i="10"/>
  <c r="M46" i="10"/>
  <c r="AU46" i="10"/>
  <c r="H267" i="10"/>
  <c r="AN47" i="10"/>
  <c r="AO47" i="10"/>
  <c r="AP47" i="10"/>
  <c r="AQ47" i="10"/>
  <c r="AR47" i="10"/>
  <c r="AS47" i="10"/>
  <c r="M47" i="10"/>
  <c r="AU47" i="10"/>
  <c r="AN48" i="10"/>
  <c r="AO48" i="10"/>
  <c r="AP48" i="10"/>
  <c r="AQ48" i="10"/>
  <c r="AR48" i="10"/>
  <c r="AS48" i="10"/>
  <c r="M48" i="10"/>
  <c r="AU48" i="10"/>
  <c r="AN49" i="10"/>
  <c r="AO49" i="10"/>
  <c r="AP49" i="10"/>
  <c r="AQ49" i="10"/>
  <c r="AR49" i="10"/>
  <c r="AS49" i="10"/>
  <c r="M49" i="10"/>
  <c r="AU49" i="10"/>
  <c r="AN50" i="10"/>
  <c r="AO50" i="10"/>
  <c r="AP50" i="10"/>
  <c r="AQ50" i="10"/>
  <c r="AR50" i="10"/>
  <c r="AS50" i="10"/>
  <c r="M50" i="10"/>
  <c r="AU50" i="10"/>
  <c r="AN51" i="10"/>
  <c r="AO51" i="10"/>
  <c r="AP51" i="10"/>
  <c r="AQ51" i="10"/>
  <c r="AR51" i="10"/>
  <c r="AS51" i="10"/>
  <c r="M51" i="10"/>
  <c r="AU51" i="10"/>
  <c r="AN52" i="10"/>
  <c r="AO52" i="10"/>
  <c r="AP52" i="10"/>
  <c r="AQ52" i="10"/>
  <c r="AR52" i="10"/>
  <c r="AS52" i="10"/>
  <c r="M52" i="10"/>
  <c r="AU52" i="10"/>
  <c r="AN53" i="10"/>
  <c r="AO53" i="10"/>
  <c r="AP53" i="10"/>
  <c r="AQ53" i="10"/>
  <c r="AR53" i="10"/>
  <c r="AS53" i="10"/>
  <c r="M53" i="10"/>
  <c r="AU53" i="10"/>
  <c r="H268" i="10"/>
  <c r="AN54" i="10"/>
  <c r="AO54" i="10"/>
  <c r="AP54" i="10"/>
  <c r="AQ54" i="10"/>
  <c r="AR54" i="10"/>
  <c r="AS54" i="10"/>
  <c r="M54" i="10"/>
  <c r="AU54" i="10"/>
  <c r="AN55" i="10"/>
  <c r="AO55" i="10"/>
  <c r="AP55" i="10"/>
  <c r="AQ55" i="10"/>
  <c r="AR55" i="10"/>
  <c r="AS55" i="10"/>
  <c r="M55" i="10"/>
  <c r="AU55" i="10"/>
  <c r="AN56" i="10"/>
  <c r="AO56" i="10"/>
  <c r="AP56" i="10"/>
  <c r="AQ56" i="10"/>
  <c r="AR56" i="10"/>
  <c r="AS56" i="10"/>
  <c r="M56" i="10"/>
  <c r="AU56" i="10"/>
  <c r="AN57" i="10"/>
  <c r="AO57" i="10"/>
  <c r="AP57" i="10"/>
  <c r="AQ57" i="10"/>
  <c r="AR57" i="10"/>
  <c r="AS57" i="10"/>
  <c r="M57" i="10"/>
  <c r="AU57" i="10"/>
  <c r="AN58" i="10"/>
  <c r="AO58" i="10"/>
  <c r="AP58" i="10"/>
  <c r="AQ58" i="10"/>
  <c r="AR58" i="10"/>
  <c r="AS58" i="10"/>
  <c r="M58" i="10"/>
  <c r="AU58" i="10"/>
  <c r="AN59" i="10"/>
  <c r="AO59" i="10"/>
  <c r="AP59" i="10"/>
  <c r="AQ59" i="10"/>
  <c r="AR59" i="10"/>
  <c r="AS59" i="10"/>
  <c r="M59" i="10"/>
  <c r="AU59" i="10"/>
  <c r="AN60" i="10"/>
  <c r="AO60" i="10"/>
  <c r="AP60" i="10"/>
  <c r="AQ60" i="10"/>
  <c r="AR60" i="10"/>
  <c r="AS60" i="10"/>
  <c r="M60" i="10"/>
  <c r="AU60" i="10"/>
  <c r="AN61" i="10"/>
  <c r="AO61" i="10"/>
  <c r="AP61" i="10"/>
  <c r="AQ61" i="10"/>
  <c r="AR61" i="10"/>
  <c r="AS61" i="10"/>
  <c r="M61" i="10"/>
  <c r="AU61" i="10"/>
  <c r="AN62" i="10"/>
  <c r="AO62" i="10"/>
  <c r="AP62" i="10"/>
  <c r="AQ62" i="10"/>
  <c r="AR62" i="10"/>
  <c r="AS62" i="10"/>
  <c r="M62" i="10"/>
  <c r="AU62" i="10"/>
  <c r="AN63" i="10"/>
  <c r="AO63" i="10"/>
  <c r="AP63" i="10"/>
  <c r="AQ63" i="10"/>
  <c r="AR63" i="10"/>
  <c r="AS63" i="10"/>
  <c r="M63" i="10"/>
  <c r="AU63" i="10"/>
  <c r="H269" i="10"/>
  <c r="AN64" i="10"/>
  <c r="AO64" i="10"/>
  <c r="AP64" i="10"/>
  <c r="AQ64" i="10"/>
  <c r="AR64" i="10"/>
  <c r="AS64" i="10"/>
  <c r="M64" i="10"/>
  <c r="AU64" i="10"/>
  <c r="AN65" i="10"/>
  <c r="AO65" i="10"/>
  <c r="AP65" i="10"/>
  <c r="AQ65" i="10"/>
  <c r="AR65" i="10"/>
  <c r="AS65" i="10"/>
  <c r="M65" i="10"/>
  <c r="AU65" i="10"/>
  <c r="AN66" i="10"/>
  <c r="AO66" i="10"/>
  <c r="AP66" i="10"/>
  <c r="AQ66" i="10"/>
  <c r="AR66" i="10"/>
  <c r="AS66" i="10"/>
  <c r="M66" i="10"/>
  <c r="AU66" i="10"/>
  <c r="AN67" i="10"/>
  <c r="AO67" i="10"/>
  <c r="AP67" i="10"/>
  <c r="AQ67" i="10"/>
  <c r="AR67" i="10"/>
  <c r="AS67" i="10"/>
  <c r="M67" i="10"/>
  <c r="AU67" i="10"/>
  <c r="AN68" i="10"/>
  <c r="AO68" i="10"/>
  <c r="AP68" i="10"/>
  <c r="AQ68" i="10"/>
  <c r="AR68" i="10"/>
  <c r="AS68" i="10"/>
  <c r="M68" i="10"/>
  <c r="AU68" i="10"/>
  <c r="AN69" i="10"/>
  <c r="AO69" i="10"/>
  <c r="AP69" i="10"/>
  <c r="AQ69" i="10"/>
  <c r="AR69" i="10"/>
  <c r="AS69" i="10"/>
  <c r="M69" i="10"/>
  <c r="AU69" i="10"/>
  <c r="AN70" i="10"/>
  <c r="AO70" i="10"/>
  <c r="AP70" i="10"/>
  <c r="AQ70" i="10"/>
  <c r="AR70" i="10"/>
  <c r="AS70" i="10"/>
  <c r="M70" i="10"/>
  <c r="AU70" i="10"/>
  <c r="AN71" i="10"/>
  <c r="AO71" i="10"/>
  <c r="AP71" i="10"/>
  <c r="AQ71" i="10"/>
  <c r="AR71" i="10"/>
  <c r="AS71" i="10"/>
  <c r="M71" i="10"/>
  <c r="AU71" i="10"/>
  <c r="AN72" i="10"/>
  <c r="AO72" i="10"/>
  <c r="AP72" i="10"/>
  <c r="AQ72" i="10"/>
  <c r="AR72" i="10"/>
  <c r="AS72" i="10"/>
  <c r="M72" i="10"/>
  <c r="AU72" i="10"/>
  <c r="H270" i="10"/>
  <c r="AN73" i="10"/>
  <c r="AO73" i="10"/>
  <c r="AP73" i="10"/>
  <c r="AQ73" i="10"/>
  <c r="AR73" i="10"/>
  <c r="AS73" i="10"/>
  <c r="M73" i="10"/>
  <c r="AU73" i="10"/>
  <c r="AN74" i="10"/>
  <c r="AO74" i="10"/>
  <c r="AP74" i="10"/>
  <c r="AQ74" i="10"/>
  <c r="AR74" i="10"/>
  <c r="AS74" i="10"/>
  <c r="M74" i="10"/>
  <c r="AU74" i="10"/>
  <c r="AN75" i="10"/>
  <c r="AO75" i="10"/>
  <c r="AP75" i="10"/>
  <c r="AQ75" i="10"/>
  <c r="AR75" i="10"/>
  <c r="AS75" i="10"/>
  <c r="M75" i="10"/>
  <c r="AU75" i="10"/>
  <c r="AN76" i="10"/>
  <c r="AO76" i="10"/>
  <c r="AP76" i="10"/>
  <c r="AQ76" i="10"/>
  <c r="AR76" i="10"/>
  <c r="AS76" i="10"/>
  <c r="M76" i="10"/>
  <c r="AU76" i="10"/>
  <c r="AN77" i="10"/>
  <c r="AO77" i="10"/>
  <c r="AP77" i="10"/>
  <c r="AQ77" i="10"/>
  <c r="AR77" i="10"/>
  <c r="AS77" i="10"/>
  <c r="M77" i="10"/>
  <c r="AU77" i="10"/>
  <c r="AN78" i="10"/>
  <c r="AO78" i="10"/>
  <c r="AP78" i="10"/>
  <c r="AQ78" i="10"/>
  <c r="AR78" i="10"/>
  <c r="AS78" i="10"/>
  <c r="M78" i="10"/>
  <c r="AU78" i="10"/>
  <c r="AN79" i="10"/>
  <c r="AO79" i="10"/>
  <c r="AP79" i="10"/>
  <c r="AQ79" i="10"/>
  <c r="AR79" i="10"/>
  <c r="AS79" i="10"/>
  <c r="M79" i="10"/>
  <c r="AU79" i="10"/>
  <c r="H271" i="10"/>
  <c r="AN80" i="10"/>
  <c r="AO80" i="10"/>
  <c r="AP80" i="10"/>
  <c r="AQ80" i="10"/>
  <c r="AR80" i="10"/>
  <c r="AS80" i="10"/>
  <c r="M80" i="10"/>
  <c r="AU80" i="10"/>
  <c r="AN81" i="10"/>
  <c r="AO81" i="10"/>
  <c r="AP81" i="10"/>
  <c r="AQ81" i="10"/>
  <c r="AR81" i="10"/>
  <c r="AS81" i="10"/>
  <c r="M81" i="10"/>
  <c r="AU81" i="10"/>
  <c r="AN82" i="10"/>
  <c r="AO82" i="10"/>
  <c r="AP82" i="10"/>
  <c r="AQ82" i="10"/>
  <c r="AR82" i="10"/>
  <c r="AS82" i="10"/>
  <c r="M82" i="10"/>
  <c r="AU82" i="10"/>
  <c r="AN83" i="10"/>
  <c r="AO83" i="10"/>
  <c r="AP83" i="10"/>
  <c r="AQ83" i="10"/>
  <c r="AR83" i="10"/>
  <c r="AS83" i="10"/>
  <c r="M83" i="10"/>
  <c r="AU83" i="10"/>
  <c r="AN84" i="10"/>
  <c r="AO84" i="10"/>
  <c r="AP84" i="10"/>
  <c r="AQ84" i="10"/>
  <c r="AR84" i="10"/>
  <c r="AS84" i="10"/>
  <c r="M84" i="10"/>
  <c r="AU84" i="10"/>
  <c r="AN85" i="10"/>
  <c r="AO85" i="10"/>
  <c r="AP85" i="10"/>
  <c r="AQ85" i="10"/>
  <c r="AR85" i="10"/>
  <c r="AS85" i="10"/>
  <c r="M85" i="10"/>
  <c r="AU85" i="10"/>
  <c r="AN86" i="10"/>
  <c r="AO86" i="10"/>
  <c r="AP86" i="10"/>
  <c r="AQ86" i="10"/>
  <c r="AR86" i="10"/>
  <c r="AS86" i="10"/>
  <c r="M86" i="10"/>
  <c r="AU86" i="10"/>
  <c r="AN87" i="10"/>
  <c r="AO87" i="10"/>
  <c r="AP87" i="10"/>
  <c r="AQ87" i="10"/>
  <c r="AR87" i="10"/>
  <c r="AS87" i="10"/>
  <c r="M87" i="10"/>
  <c r="AU87" i="10"/>
  <c r="AN88" i="10"/>
  <c r="AO88" i="10"/>
  <c r="AP88" i="10"/>
  <c r="AQ88" i="10"/>
  <c r="AR88" i="10"/>
  <c r="AS88" i="10"/>
  <c r="M88" i="10"/>
  <c r="AU88" i="10"/>
  <c r="H272" i="10"/>
  <c r="AN89" i="10"/>
  <c r="AO89" i="10"/>
  <c r="AP89" i="10"/>
  <c r="AQ89" i="10"/>
  <c r="AR89" i="10"/>
  <c r="AS89" i="10"/>
  <c r="M89" i="10"/>
  <c r="AU89" i="10"/>
  <c r="AN90" i="10"/>
  <c r="AO90" i="10"/>
  <c r="AP90" i="10"/>
  <c r="AQ90" i="10"/>
  <c r="AR90" i="10"/>
  <c r="AS90" i="10"/>
  <c r="M90" i="10"/>
  <c r="AU90" i="10"/>
  <c r="H273" i="10"/>
  <c r="AN91" i="10"/>
  <c r="AO91" i="10"/>
  <c r="AP91" i="10"/>
  <c r="AQ91" i="10"/>
  <c r="AR91" i="10"/>
  <c r="AS91" i="10"/>
  <c r="M91" i="10"/>
  <c r="AU91" i="10"/>
  <c r="AN92" i="10"/>
  <c r="AO92" i="10"/>
  <c r="AP92" i="10"/>
  <c r="AQ92" i="10"/>
  <c r="AR92" i="10"/>
  <c r="AS92" i="10"/>
  <c r="M92" i="10"/>
  <c r="AU92" i="10"/>
  <c r="AN93" i="10"/>
  <c r="AO93" i="10"/>
  <c r="AP93" i="10"/>
  <c r="AQ93" i="10"/>
  <c r="AR93" i="10"/>
  <c r="AS93" i="10"/>
  <c r="M93" i="10"/>
  <c r="AU93" i="10"/>
  <c r="AN94" i="10"/>
  <c r="AO94" i="10"/>
  <c r="AP94" i="10"/>
  <c r="AQ94" i="10"/>
  <c r="AR94" i="10"/>
  <c r="AS94" i="10"/>
  <c r="M94" i="10"/>
  <c r="AU94" i="10"/>
  <c r="AN95" i="10"/>
  <c r="AO95" i="10"/>
  <c r="AP95" i="10"/>
  <c r="AQ95" i="10"/>
  <c r="AR95" i="10"/>
  <c r="AS95" i="10"/>
  <c r="M95" i="10"/>
  <c r="AU95" i="10"/>
  <c r="AN96" i="10"/>
  <c r="AO96" i="10"/>
  <c r="AP96" i="10"/>
  <c r="AQ96" i="10"/>
  <c r="AR96" i="10"/>
  <c r="AS96" i="10"/>
  <c r="M96" i="10"/>
  <c r="AU96" i="10"/>
  <c r="AN97" i="10"/>
  <c r="AO97" i="10"/>
  <c r="AP97" i="10"/>
  <c r="AQ97" i="10"/>
  <c r="AR97" i="10"/>
  <c r="AS97" i="10"/>
  <c r="M97" i="10"/>
  <c r="AU97" i="10"/>
  <c r="AN98" i="10"/>
  <c r="AO98" i="10"/>
  <c r="AP98" i="10"/>
  <c r="AQ98" i="10"/>
  <c r="AR98" i="10"/>
  <c r="AS98" i="10"/>
  <c r="M98" i="10"/>
  <c r="AU98" i="10"/>
  <c r="AN99" i="10"/>
  <c r="AO99" i="10"/>
  <c r="AP99" i="10"/>
  <c r="AQ99" i="10"/>
  <c r="AR99" i="10"/>
  <c r="AS99" i="10"/>
  <c r="M99" i="10"/>
  <c r="AU99" i="10"/>
  <c r="AN100" i="10"/>
  <c r="AO100" i="10"/>
  <c r="AP100" i="10"/>
  <c r="AQ100" i="10"/>
  <c r="AR100" i="10"/>
  <c r="AS100" i="10"/>
  <c r="M100" i="10"/>
  <c r="AU100" i="10"/>
  <c r="AN101" i="10"/>
  <c r="AO101" i="10"/>
  <c r="AP101" i="10"/>
  <c r="AQ101" i="10"/>
  <c r="AR101" i="10"/>
  <c r="AS101" i="10"/>
  <c r="M101" i="10"/>
  <c r="AU101" i="10"/>
  <c r="AN102" i="10"/>
  <c r="AO102" i="10"/>
  <c r="AP102" i="10"/>
  <c r="AQ102" i="10"/>
  <c r="AR102" i="10"/>
  <c r="AS102" i="10"/>
  <c r="M102" i="10"/>
  <c r="AU102" i="10"/>
  <c r="AN103" i="10"/>
  <c r="AO103" i="10"/>
  <c r="AP103" i="10"/>
  <c r="AQ103" i="10"/>
  <c r="AR103" i="10"/>
  <c r="AS103" i="10"/>
  <c r="M103" i="10"/>
  <c r="AU103" i="10"/>
  <c r="AN104" i="10"/>
  <c r="AO104" i="10"/>
  <c r="AP104" i="10"/>
  <c r="AQ104" i="10"/>
  <c r="AR104" i="10"/>
  <c r="AS104" i="10"/>
  <c r="M104" i="10"/>
  <c r="AU104" i="10"/>
  <c r="AN105" i="10"/>
  <c r="AO105" i="10"/>
  <c r="AP105" i="10"/>
  <c r="AQ105" i="10"/>
  <c r="AR105" i="10"/>
  <c r="AS105" i="10"/>
  <c r="M105" i="10"/>
  <c r="AU105" i="10"/>
  <c r="AN106" i="10"/>
  <c r="AO106" i="10"/>
  <c r="AP106" i="10"/>
  <c r="AQ106" i="10"/>
  <c r="AR106" i="10"/>
  <c r="AS106" i="10"/>
  <c r="M106" i="10"/>
  <c r="AU106" i="10"/>
  <c r="AN107" i="10"/>
  <c r="AO107" i="10"/>
  <c r="AP107" i="10"/>
  <c r="AQ107" i="10"/>
  <c r="AR107" i="10"/>
  <c r="AS107" i="10"/>
  <c r="M107" i="10"/>
  <c r="AU107" i="10"/>
  <c r="AN108" i="10"/>
  <c r="AO108" i="10"/>
  <c r="AP108" i="10"/>
  <c r="AQ108" i="10"/>
  <c r="AR108" i="10"/>
  <c r="AS108" i="10"/>
  <c r="M108" i="10"/>
  <c r="AU108" i="10"/>
  <c r="AN109" i="10"/>
  <c r="AO109" i="10"/>
  <c r="AP109" i="10"/>
  <c r="AQ109" i="10"/>
  <c r="AR109" i="10"/>
  <c r="AS109" i="10"/>
  <c r="M109" i="10"/>
  <c r="AU109" i="10"/>
  <c r="AN110" i="10"/>
  <c r="AO110" i="10"/>
  <c r="AP110" i="10"/>
  <c r="AQ110" i="10"/>
  <c r="AR110" i="10"/>
  <c r="AS110" i="10"/>
  <c r="M110" i="10"/>
  <c r="AU110" i="10"/>
  <c r="AN111" i="10"/>
  <c r="AO111" i="10"/>
  <c r="AP111" i="10"/>
  <c r="AQ111" i="10"/>
  <c r="AR111" i="10"/>
  <c r="AS111" i="10"/>
  <c r="M111" i="10"/>
  <c r="AU111" i="10"/>
  <c r="AN112" i="10"/>
  <c r="AO112" i="10"/>
  <c r="AP112" i="10"/>
  <c r="AQ112" i="10"/>
  <c r="AR112" i="10"/>
  <c r="AS112" i="10"/>
  <c r="M112" i="10"/>
  <c r="AU112" i="10"/>
  <c r="AN113" i="10"/>
  <c r="AO113" i="10"/>
  <c r="AP113" i="10"/>
  <c r="AQ113" i="10"/>
  <c r="AR113" i="10"/>
  <c r="AS113" i="10"/>
  <c r="M113" i="10"/>
  <c r="AU113" i="10"/>
  <c r="AN114" i="10"/>
  <c r="AO114" i="10"/>
  <c r="AP114" i="10"/>
  <c r="AQ114" i="10"/>
  <c r="AR114" i="10"/>
  <c r="AS114" i="10"/>
  <c r="M114" i="10"/>
  <c r="AU114" i="10"/>
  <c r="AN115" i="10"/>
  <c r="AO115" i="10"/>
  <c r="AP115" i="10"/>
  <c r="AQ115" i="10"/>
  <c r="AR115" i="10"/>
  <c r="AS115" i="10"/>
  <c r="M115" i="10"/>
  <c r="AU115" i="10"/>
  <c r="AN116" i="10"/>
  <c r="AO116" i="10"/>
  <c r="AP116" i="10"/>
  <c r="AQ116" i="10"/>
  <c r="AR116" i="10"/>
  <c r="AS116" i="10"/>
  <c r="M116" i="10"/>
  <c r="AU116" i="10"/>
  <c r="AN117" i="10"/>
  <c r="AO117" i="10"/>
  <c r="AP117" i="10"/>
  <c r="AQ117" i="10"/>
  <c r="AR117" i="10"/>
  <c r="AS117" i="10"/>
  <c r="M117" i="10"/>
  <c r="AU117" i="10"/>
  <c r="AN118" i="10"/>
  <c r="AO118" i="10"/>
  <c r="AP118" i="10"/>
  <c r="AQ118" i="10"/>
  <c r="AR118" i="10"/>
  <c r="AS118" i="10"/>
  <c r="M118" i="10"/>
  <c r="AU118" i="10"/>
  <c r="B23" i="10"/>
  <c r="C23" i="10" s="1"/>
  <c r="D23" i="10" s="1"/>
  <c r="B21" i="10"/>
  <c r="B28" i="10"/>
  <c r="B35" i="10"/>
  <c r="B262" i="10"/>
  <c r="E262" i="10" s="1"/>
  <c r="B260" i="10"/>
  <c r="C260" i="10" s="1"/>
  <c r="D260" i="10" s="1"/>
  <c r="B302" i="10"/>
  <c r="E302" i="10" s="1"/>
  <c r="B298" i="10"/>
  <c r="E298" i="10" s="1"/>
  <c r="B225" i="10"/>
  <c r="E225" i="10" s="1"/>
  <c r="B223" i="10"/>
  <c r="B189" i="10"/>
  <c r="E189" i="10" s="1"/>
  <c r="B187" i="10"/>
  <c r="C187" i="10" s="1"/>
  <c r="D187" i="10" s="1"/>
  <c r="B29" i="10"/>
  <c r="C29" i="10" s="1"/>
  <c r="D29" i="10" s="1"/>
  <c r="B22" i="10"/>
  <c r="C22" i="10" s="1"/>
  <c r="D22" i="10" s="1"/>
  <c r="B30" i="10"/>
  <c r="C30" i="10" s="1"/>
  <c r="D30" i="10" s="1"/>
  <c r="B26" i="10"/>
  <c r="C26" i="10" s="1"/>
  <c r="D26" i="10" s="1"/>
  <c r="B31" i="10"/>
  <c r="C31" i="10" s="1"/>
  <c r="D31" i="10" s="1"/>
  <c r="B32" i="10"/>
  <c r="C32" i="10" s="1"/>
  <c r="D32" i="10" s="1"/>
  <c r="B48" i="9"/>
  <c r="B249" i="10"/>
  <c r="E249" i="10" s="1"/>
  <c r="B248" i="10"/>
  <c r="E248" i="10" s="1"/>
  <c r="B247" i="10"/>
  <c r="C247" i="10" s="1"/>
  <c r="D247" i="10" s="1"/>
  <c r="B246" i="10"/>
  <c r="C246" i="10" s="1"/>
  <c r="D246" i="10" s="1"/>
  <c r="B245" i="10"/>
  <c r="C245" i="10" s="1"/>
  <c r="D245" i="10" s="1"/>
  <c r="B244" i="10"/>
  <c r="C244" i="10" s="1"/>
  <c r="D244" i="10" s="1"/>
  <c r="B243" i="10"/>
  <c r="E243" i="10" s="1"/>
  <c r="B242" i="10"/>
  <c r="C242" i="10" s="1"/>
  <c r="D242" i="10" s="1"/>
  <c r="B241" i="10"/>
  <c r="E241" i="10" s="1"/>
  <c r="B240" i="10"/>
  <c r="E240" i="10" s="1"/>
  <c r="B239" i="10"/>
  <c r="C239" i="10" s="1"/>
  <c r="D239" i="10" s="1"/>
  <c r="B238" i="10"/>
  <c r="C238" i="10" s="1"/>
  <c r="D238" i="10" s="1"/>
  <c r="B237" i="10"/>
  <c r="E237" i="10" s="1"/>
  <c r="B236" i="10"/>
  <c r="E236" i="10" s="1"/>
  <c r="B235" i="10"/>
  <c r="E235" i="10" s="1"/>
  <c r="B234" i="10"/>
  <c r="C234" i="10" s="1"/>
  <c r="D234" i="10" s="1"/>
  <c r="B233" i="10"/>
  <c r="E233" i="10" s="1"/>
  <c r="B232" i="10"/>
  <c r="C232" i="10" s="1"/>
  <c r="D232" i="10" s="1"/>
  <c r="B231" i="10"/>
  <c r="C231" i="10" s="1"/>
  <c r="D231" i="10" s="1"/>
  <c r="B230" i="10"/>
  <c r="E230" i="10" s="1"/>
  <c r="B229" i="10"/>
  <c r="C229" i="10" s="1"/>
  <c r="D229" i="10" s="1"/>
  <c r="B228" i="10"/>
  <c r="C228" i="10" s="1"/>
  <c r="D228" i="10" s="1"/>
  <c r="B227" i="10"/>
  <c r="E227" i="10" s="1"/>
  <c r="B226" i="10"/>
  <c r="C226" i="10" s="1"/>
  <c r="D226" i="10" s="1"/>
  <c r="B224" i="10"/>
  <c r="E224" i="10" s="1"/>
  <c r="B222" i="10"/>
  <c r="E222" i="10" s="1"/>
  <c r="B221" i="10"/>
  <c r="E221" i="10" s="1"/>
  <c r="B220" i="10"/>
  <c r="E220" i="10" s="1"/>
  <c r="B219" i="10"/>
  <c r="C219" i="10" s="1"/>
  <c r="D219" i="10" s="1"/>
  <c r="B218" i="10"/>
  <c r="E218" i="10" s="1"/>
  <c r="B217" i="10"/>
  <c r="E217" i="10" s="1"/>
  <c r="B216" i="10"/>
  <c r="E216" i="10" s="1"/>
  <c r="B215" i="10"/>
  <c r="E215" i="10" s="1"/>
  <c r="B214" i="10"/>
  <c r="E214" i="10" s="1"/>
  <c r="B366" i="10"/>
  <c r="E366" i="10" s="1"/>
  <c r="B365" i="10"/>
  <c r="E365" i="10" s="1"/>
  <c r="B364" i="10"/>
  <c r="C364" i="10" s="1"/>
  <c r="D364" i="10" s="1"/>
  <c r="B363" i="10"/>
  <c r="E363" i="10" s="1"/>
  <c r="B362" i="10"/>
  <c r="E362" i="10" s="1"/>
  <c r="B361" i="10"/>
  <c r="C361" i="10" s="1"/>
  <c r="D361" i="10" s="1"/>
  <c r="B360" i="10"/>
  <c r="E360" i="10" s="1"/>
  <c r="B359" i="10"/>
  <c r="E359" i="10" s="1"/>
  <c r="B358" i="10"/>
  <c r="C358" i="10" s="1"/>
  <c r="D358" i="10" s="1"/>
  <c r="B357" i="10"/>
  <c r="C357" i="10" s="1"/>
  <c r="D357" i="10" s="1"/>
  <c r="B356" i="10"/>
  <c r="C356" i="10" s="1"/>
  <c r="D356" i="10" s="1"/>
  <c r="B355" i="10"/>
  <c r="E355" i="10" s="1"/>
  <c r="B354" i="10"/>
  <c r="E354" i="10" s="1"/>
  <c r="B353" i="10"/>
  <c r="E353" i="10" s="1"/>
  <c r="B352" i="10"/>
  <c r="E352" i="10" s="1"/>
  <c r="B351" i="10"/>
  <c r="C351" i="10" s="1"/>
  <c r="D351" i="10" s="1"/>
  <c r="B350" i="10"/>
  <c r="C350" i="10" s="1"/>
  <c r="D350" i="10" s="1"/>
  <c r="B349" i="10"/>
  <c r="E349" i="10" s="1"/>
  <c r="B348" i="10"/>
  <c r="E348" i="10" s="1"/>
  <c r="B347" i="10"/>
  <c r="E347" i="10" s="1"/>
  <c r="B346" i="10"/>
  <c r="C346" i="10" s="1"/>
  <c r="D346" i="10" s="1"/>
  <c r="B345" i="10"/>
  <c r="E345" i="10" s="1"/>
  <c r="B344" i="10"/>
  <c r="E344" i="10" s="1"/>
  <c r="B343" i="10"/>
  <c r="E343" i="10" s="1"/>
  <c r="B342" i="10"/>
  <c r="C342" i="10" s="1"/>
  <c r="D342" i="10" s="1"/>
  <c r="B341" i="10"/>
  <c r="E341" i="10" s="1"/>
  <c r="B340" i="10"/>
  <c r="C340" i="10" s="1"/>
  <c r="D340" i="10" s="1"/>
  <c r="B339" i="10"/>
  <c r="C339" i="10" s="1"/>
  <c r="D339" i="10" s="1"/>
  <c r="B338" i="10"/>
  <c r="E338" i="10" s="1"/>
  <c r="B337" i="10"/>
  <c r="E337" i="10" s="1"/>
  <c r="B336" i="10"/>
  <c r="C336" i="10" s="1"/>
  <c r="D336" i="10" s="1"/>
  <c r="B335" i="10"/>
  <c r="E335" i="10" s="1"/>
  <c r="B334" i="10"/>
  <c r="C334" i="10" s="1"/>
  <c r="D334" i="10" s="1"/>
  <c r="B333" i="10"/>
  <c r="C333" i="10" s="1"/>
  <c r="D333" i="10" s="1"/>
  <c r="B332" i="10"/>
  <c r="E332" i="10" s="1"/>
  <c r="B331" i="10"/>
  <c r="C331" i="10" s="1"/>
  <c r="D331" i="10" s="1"/>
  <c r="B330" i="10"/>
  <c r="C330" i="10" s="1"/>
  <c r="D330" i="10" s="1"/>
  <c r="B329" i="10"/>
  <c r="E329" i="10" s="1"/>
  <c r="B328" i="10"/>
  <c r="E328" i="10" s="1"/>
  <c r="B327" i="10"/>
  <c r="E327" i="10" s="1"/>
  <c r="B326" i="10"/>
  <c r="C326" i="10" s="1"/>
  <c r="D326" i="10" s="1"/>
  <c r="B325" i="10"/>
  <c r="E325" i="10" s="1"/>
  <c r="B324" i="10"/>
  <c r="C324" i="10" s="1"/>
  <c r="D324" i="10" s="1"/>
  <c r="B323" i="10"/>
  <c r="E323" i="10" s="1"/>
  <c r="B322" i="10"/>
  <c r="C322" i="10" s="1"/>
  <c r="D322" i="10" s="1"/>
  <c r="B321" i="10"/>
  <c r="C321" i="10" s="1"/>
  <c r="D321" i="10" s="1"/>
  <c r="B320" i="10"/>
  <c r="C320" i="10" s="1"/>
  <c r="D320" i="10" s="1"/>
  <c r="B319" i="10"/>
  <c r="E319" i="10" s="1"/>
  <c r="B318" i="10"/>
  <c r="E318" i="10" s="1"/>
  <c r="B317" i="10"/>
  <c r="C317" i="10" s="1"/>
  <c r="D317" i="10" s="1"/>
  <c r="B316" i="10"/>
  <c r="E316" i="10" s="1"/>
  <c r="B315" i="10"/>
  <c r="C315" i="10" s="1"/>
  <c r="D315" i="10" s="1"/>
  <c r="B314" i="10"/>
  <c r="C314" i="10" s="1"/>
  <c r="D314" i="10" s="1"/>
  <c r="B313" i="10"/>
  <c r="C313" i="10" s="1"/>
  <c r="D313" i="10" s="1"/>
  <c r="B312" i="10"/>
  <c r="E312" i="10" s="1"/>
  <c r="B311" i="10"/>
  <c r="C311" i="10" s="1"/>
  <c r="D311" i="10" s="1"/>
  <c r="B310" i="10"/>
  <c r="C310" i="10" s="1"/>
  <c r="D310" i="10" s="1"/>
  <c r="B309" i="10"/>
  <c r="C309" i="10" s="1"/>
  <c r="D309" i="10" s="1"/>
  <c r="B308" i="10"/>
  <c r="E308" i="10" s="1"/>
  <c r="B307" i="10"/>
  <c r="E307" i="10" s="1"/>
  <c r="B306" i="10"/>
  <c r="E306" i="10" s="1"/>
  <c r="B305" i="10"/>
  <c r="C305" i="10" s="1"/>
  <c r="D305" i="10" s="1"/>
  <c r="B304" i="10"/>
  <c r="C304" i="10" s="1"/>
  <c r="D304" i="10" s="1"/>
  <c r="B303" i="10"/>
  <c r="C303" i="10" s="1"/>
  <c r="D303" i="10" s="1"/>
  <c r="B301" i="10"/>
  <c r="E301" i="10" s="1"/>
  <c r="B300" i="10"/>
  <c r="E300" i="10" s="1"/>
  <c r="B299" i="10"/>
  <c r="C299" i="10" s="1"/>
  <c r="D299" i="10" s="1"/>
  <c r="B297" i="10"/>
  <c r="E297" i="10" s="1"/>
  <c r="B296" i="10"/>
  <c r="C296" i="10" s="1"/>
  <c r="D296" i="10" s="1"/>
  <c r="B295" i="10"/>
  <c r="C295" i="10" s="1"/>
  <c r="D295" i="10" s="1"/>
  <c r="B294" i="10"/>
  <c r="C294" i="10" s="1"/>
  <c r="D294" i="10" s="1"/>
  <c r="B293" i="10"/>
  <c r="E293" i="10" s="1"/>
  <c r="B292" i="10"/>
  <c r="E292" i="10" s="1"/>
  <c r="B291" i="10"/>
  <c r="C291" i="10" s="1"/>
  <c r="D291" i="10" s="1"/>
  <c r="B290" i="10"/>
  <c r="E290" i="10" s="1"/>
  <c r="B289" i="10"/>
  <c r="C289" i="10" s="1"/>
  <c r="D289" i="10" s="1"/>
  <c r="B288" i="10"/>
  <c r="C288" i="10" s="1"/>
  <c r="D288" i="10" s="1"/>
  <c r="B287" i="10"/>
  <c r="C287" i="10" s="1"/>
  <c r="D287" i="10" s="1"/>
  <c r="B210" i="10"/>
  <c r="C210" i="10" s="1"/>
  <c r="D210" i="10" s="1"/>
  <c r="B209" i="10"/>
  <c r="E209" i="10" s="1"/>
  <c r="B208" i="10"/>
  <c r="C208" i="10" s="1"/>
  <c r="D208" i="10" s="1"/>
  <c r="B207" i="10"/>
  <c r="E207" i="10" s="1"/>
  <c r="B206" i="10"/>
  <c r="C206" i="10" s="1"/>
  <c r="D206" i="10" s="1"/>
  <c r="B205" i="10"/>
  <c r="E205" i="10" s="1"/>
  <c r="B204" i="10"/>
  <c r="E204" i="10" s="1"/>
  <c r="B203" i="10"/>
  <c r="C203" i="10" s="1"/>
  <c r="D203" i="10" s="1"/>
  <c r="B202" i="10"/>
  <c r="E202" i="10" s="1"/>
  <c r="B201" i="10"/>
  <c r="C201" i="10" s="1"/>
  <c r="D201" i="10" s="1"/>
  <c r="B200" i="10"/>
  <c r="C200" i="10" s="1"/>
  <c r="D200" i="10" s="1"/>
  <c r="B199" i="10"/>
  <c r="C199" i="10" s="1"/>
  <c r="D199" i="10" s="1"/>
  <c r="B198" i="10"/>
  <c r="C198" i="10" s="1"/>
  <c r="D198" i="10" s="1"/>
  <c r="B197" i="10"/>
  <c r="E197" i="10" s="1"/>
  <c r="B196" i="10"/>
  <c r="C196" i="10" s="1"/>
  <c r="D196" i="10" s="1"/>
  <c r="B195" i="10"/>
  <c r="E195" i="10" s="1"/>
  <c r="B194" i="10"/>
  <c r="C194" i="10" s="1"/>
  <c r="D194" i="10" s="1"/>
  <c r="B193" i="10"/>
  <c r="E193" i="10" s="1"/>
  <c r="B192" i="10"/>
  <c r="E192" i="10" s="1"/>
  <c r="B191" i="10"/>
  <c r="C191" i="10" s="1"/>
  <c r="D191" i="10" s="1"/>
  <c r="B190" i="10"/>
  <c r="C190" i="10" s="1"/>
  <c r="D190" i="10" s="1"/>
  <c r="B188" i="10"/>
  <c r="C188" i="10" s="1"/>
  <c r="D188" i="10" s="1"/>
  <c r="B186" i="10"/>
  <c r="C186" i="10" s="1"/>
  <c r="D186" i="10" s="1"/>
  <c r="B185" i="10"/>
  <c r="E185" i="10" s="1"/>
  <c r="B184" i="10"/>
  <c r="C184" i="10" s="1"/>
  <c r="D184" i="10" s="1"/>
  <c r="B183" i="10"/>
  <c r="C183" i="10" s="1"/>
  <c r="D183" i="10" s="1"/>
  <c r="B182" i="10"/>
  <c r="C182" i="10" s="1"/>
  <c r="D182" i="10" s="1"/>
  <c r="B181" i="10"/>
  <c r="C181" i="10" s="1"/>
  <c r="D181" i="10" s="1"/>
  <c r="B283" i="10"/>
  <c r="C283" i="10" s="1"/>
  <c r="D283" i="10" s="1"/>
  <c r="B282" i="10"/>
  <c r="E282" i="10" s="1"/>
  <c r="B281" i="10"/>
  <c r="E281" i="10" s="1"/>
  <c r="B280" i="10"/>
  <c r="E280" i="10" s="1"/>
  <c r="B279" i="10"/>
  <c r="E279" i="10" s="1"/>
  <c r="B278" i="10"/>
  <c r="C278" i="10" s="1"/>
  <c r="D278" i="10" s="1"/>
  <c r="B277" i="10"/>
  <c r="E277" i="10" s="1"/>
  <c r="B276" i="10"/>
  <c r="E276" i="10" s="1"/>
  <c r="B275" i="10"/>
  <c r="C275" i="10" s="1"/>
  <c r="D275" i="10" s="1"/>
  <c r="B274" i="10"/>
  <c r="C274" i="10" s="1"/>
  <c r="D274" i="10" s="1"/>
  <c r="B273" i="10"/>
  <c r="E273" i="10" s="1"/>
  <c r="B272" i="10"/>
  <c r="E272" i="10" s="1"/>
  <c r="B271" i="10"/>
  <c r="C271" i="10" s="1"/>
  <c r="D271" i="10" s="1"/>
  <c r="B270" i="10"/>
  <c r="C270" i="10" s="1"/>
  <c r="D270" i="10" s="1"/>
  <c r="B269" i="10"/>
  <c r="C269" i="10" s="1"/>
  <c r="D269" i="10" s="1"/>
  <c r="B268" i="10"/>
  <c r="E268" i="10" s="1"/>
  <c r="B267" i="10"/>
  <c r="C267" i="10" s="1"/>
  <c r="D267" i="10" s="1"/>
  <c r="B266" i="10"/>
  <c r="C266" i="10" s="1"/>
  <c r="D266" i="10" s="1"/>
  <c r="B265" i="10"/>
  <c r="E265" i="10" s="1"/>
  <c r="B264" i="10"/>
  <c r="E264" i="10" s="1"/>
  <c r="B263" i="10"/>
  <c r="E263" i="10" s="1"/>
  <c r="B261" i="10"/>
  <c r="C261" i="10" s="1"/>
  <c r="D261" i="10" s="1"/>
  <c r="B259" i="10"/>
  <c r="C259" i="10" s="1"/>
  <c r="D259" i="10" s="1"/>
  <c r="B258" i="10"/>
  <c r="C258" i="10" s="1"/>
  <c r="D258" i="10" s="1"/>
  <c r="B257" i="10"/>
  <c r="E257" i="10" s="1"/>
  <c r="B256" i="10"/>
  <c r="C256" i="10" s="1"/>
  <c r="D256" i="10" s="1"/>
  <c r="B255" i="10"/>
  <c r="C255" i="10" s="1"/>
  <c r="D255" i="10" s="1"/>
  <c r="B254" i="10"/>
  <c r="C254" i="10" s="1"/>
  <c r="D254" i="10" s="1"/>
  <c r="B253" i="10"/>
  <c r="E253" i="10" s="1"/>
  <c r="B378" i="10"/>
  <c r="E378" i="10" s="1"/>
  <c r="B377" i="10"/>
  <c r="C377" i="10" s="1"/>
  <c r="D377" i="10" s="1"/>
  <c r="B376" i="10"/>
  <c r="C376" i="10" s="1"/>
  <c r="D376" i="10" s="1"/>
  <c r="B375" i="10"/>
  <c r="C375" i="10" s="1"/>
  <c r="D375" i="10" s="1"/>
  <c r="B374" i="10"/>
  <c r="C374" i="10" s="1"/>
  <c r="D374" i="10" s="1"/>
  <c r="B373" i="10"/>
  <c r="C373" i="10" s="1"/>
  <c r="D373" i="10" s="1"/>
  <c r="B372" i="10"/>
  <c r="E372" i="10" s="1"/>
  <c r="B371" i="10"/>
  <c r="C371" i="10" s="1"/>
  <c r="D371" i="10" s="1"/>
  <c r="B370" i="10"/>
  <c r="E370" i="10" s="1"/>
  <c r="B118" i="10"/>
  <c r="B117" i="10"/>
  <c r="B116" i="10"/>
  <c r="B115" i="10"/>
  <c r="C115" i="10" s="1"/>
  <c r="D115" i="10" s="1"/>
  <c r="B114" i="10"/>
  <c r="B113" i="10"/>
  <c r="C113" i="10" s="1"/>
  <c r="D113" i="10" s="1"/>
  <c r="B112" i="10"/>
  <c r="C112" i="10" s="1"/>
  <c r="D112" i="10" s="1"/>
  <c r="B111" i="10"/>
  <c r="B110" i="10"/>
  <c r="B109" i="10"/>
  <c r="C109" i="10" s="1"/>
  <c r="D109" i="10" s="1"/>
  <c r="B108" i="10"/>
  <c r="C108" i="10" s="1"/>
  <c r="D108" i="10" s="1"/>
  <c r="B107" i="10"/>
  <c r="C107" i="10" s="1"/>
  <c r="D107" i="10" s="1"/>
  <c r="B106" i="10"/>
  <c r="C106" i="10" s="1"/>
  <c r="D106" i="10" s="1"/>
  <c r="B105" i="10"/>
  <c r="E105" i="10" s="1"/>
  <c r="B104" i="10"/>
  <c r="C104" i="10" s="1"/>
  <c r="D104" i="10" s="1"/>
  <c r="B103" i="10"/>
  <c r="C103" i="10" s="1"/>
  <c r="D103" i="10" s="1"/>
  <c r="B102" i="10"/>
  <c r="C102" i="10" s="1"/>
  <c r="D102" i="10" s="1"/>
  <c r="B101" i="10"/>
  <c r="E101" i="10" s="1"/>
  <c r="B100" i="10"/>
  <c r="E100" i="10" s="1"/>
  <c r="B99" i="10"/>
  <c r="E99" i="10" s="1"/>
  <c r="B98" i="10"/>
  <c r="C98" i="10" s="1"/>
  <c r="D98" i="10" s="1"/>
  <c r="B97" i="10"/>
  <c r="C97" i="10" s="1"/>
  <c r="D97" i="10" s="1"/>
  <c r="B96" i="10"/>
  <c r="E96" i="10" s="1"/>
  <c r="B95" i="10"/>
  <c r="C95" i="10" s="1"/>
  <c r="D95" i="10" s="1"/>
  <c r="B94" i="10"/>
  <c r="E94" i="10" s="1"/>
  <c r="B93" i="10"/>
  <c r="E93" i="10" s="1"/>
  <c r="B92" i="10"/>
  <c r="E92" i="10" s="1"/>
  <c r="B91" i="10"/>
  <c r="E91" i="10" s="1"/>
  <c r="B90" i="10"/>
  <c r="B89" i="10"/>
  <c r="E89" i="10" s="1"/>
  <c r="B88" i="10"/>
  <c r="C88" i="10" s="1"/>
  <c r="D88" i="10" s="1"/>
  <c r="B87" i="10"/>
  <c r="E87" i="10" s="1"/>
  <c r="B86" i="10"/>
  <c r="E86" i="10" s="1"/>
  <c r="B85" i="10"/>
  <c r="C85" i="10" s="1"/>
  <c r="D85" i="10" s="1"/>
  <c r="B84" i="10"/>
  <c r="E84" i="10" s="1"/>
  <c r="B83" i="10"/>
  <c r="E83" i="10" s="1"/>
  <c r="B82" i="10"/>
  <c r="C82" i="10" s="1"/>
  <c r="D82" i="10" s="1"/>
  <c r="B81" i="10"/>
  <c r="C81" i="10" s="1"/>
  <c r="D81" i="10" s="1"/>
  <c r="B80" i="10"/>
  <c r="E80" i="10" s="1"/>
  <c r="B79" i="10"/>
  <c r="C79" i="10" s="1"/>
  <c r="D79" i="10" s="1"/>
  <c r="B78" i="10"/>
  <c r="E78" i="10" s="1"/>
  <c r="B77" i="10"/>
  <c r="B76" i="10"/>
  <c r="E76" i="10" s="1"/>
  <c r="B75" i="10"/>
  <c r="C75" i="10" s="1"/>
  <c r="D75" i="10" s="1"/>
  <c r="B74" i="10"/>
  <c r="E74" i="10" s="1"/>
  <c r="B73" i="10"/>
  <c r="E73" i="10" s="1"/>
  <c r="B72" i="10"/>
  <c r="C72" i="10" s="1"/>
  <c r="D72" i="10" s="1"/>
  <c r="B71" i="10"/>
  <c r="C71" i="10" s="1"/>
  <c r="D71" i="10" s="1"/>
  <c r="B70" i="10"/>
  <c r="E70" i="10" s="1"/>
  <c r="B69" i="10"/>
  <c r="E69" i="10" s="1"/>
  <c r="B68" i="10"/>
  <c r="E68" i="10" s="1"/>
  <c r="B67" i="10"/>
  <c r="C67" i="10" s="1"/>
  <c r="D67" i="10" s="1"/>
  <c r="B66" i="10"/>
  <c r="C66" i="10" s="1"/>
  <c r="D66" i="10" s="1"/>
  <c r="B65" i="10"/>
  <c r="C65" i="10" s="1"/>
  <c r="D65" i="10" s="1"/>
  <c r="B64" i="10"/>
  <c r="E64" i="10" s="1"/>
  <c r="B63" i="10"/>
  <c r="C63" i="10" s="1"/>
  <c r="D63" i="10" s="1"/>
  <c r="B62" i="10"/>
  <c r="E62" i="10" s="1"/>
  <c r="B61" i="10"/>
  <c r="E61" i="10" s="1"/>
  <c r="B60" i="10"/>
  <c r="C60" i="10" s="1"/>
  <c r="D60" i="10" s="1"/>
  <c r="B59" i="10"/>
  <c r="E59" i="10" s="1"/>
  <c r="B58" i="10"/>
  <c r="C58" i="10" s="1"/>
  <c r="D58" i="10" s="1"/>
  <c r="B57" i="10"/>
  <c r="E57" i="10" s="1"/>
  <c r="B56" i="10"/>
  <c r="E56" i="10" s="1"/>
  <c r="B55" i="10"/>
  <c r="E55" i="10" s="1"/>
  <c r="B54" i="10"/>
  <c r="E54" i="10" s="1"/>
  <c r="B53" i="10"/>
  <c r="B52" i="10"/>
  <c r="C52" i="10" s="1"/>
  <c r="D52" i="10" s="1"/>
  <c r="B51" i="10"/>
  <c r="C51" i="10" s="1"/>
  <c r="D51" i="10" s="1"/>
  <c r="B50" i="10"/>
  <c r="E50" i="10" s="1"/>
  <c r="B49" i="10"/>
  <c r="E49" i="10" s="1"/>
  <c r="B48" i="10"/>
  <c r="E48" i="10" s="1"/>
  <c r="B47" i="10"/>
  <c r="E47" i="10" s="1"/>
  <c r="B46" i="10"/>
  <c r="C46" i="10" s="1"/>
  <c r="D46" i="10" s="1"/>
  <c r="B45" i="10"/>
  <c r="C45" i="10" s="1"/>
  <c r="D45" i="10" s="1"/>
  <c r="B44" i="10"/>
  <c r="E44" i="10" s="1"/>
  <c r="B43" i="10"/>
  <c r="E43" i="10" s="1"/>
  <c r="B42" i="10"/>
  <c r="E42" i="10" s="1"/>
  <c r="B41" i="10"/>
  <c r="E41" i="10" s="1"/>
  <c r="B40" i="10"/>
  <c r="C40" i="10" s="1"/>
  <c r="D40" i="10" s="1"/>
  <c r="B39" i="10"/>
  <c r="E39" i="10" s="1"/>
  <c r="B38" i="10"/>
  <c r="C38" i="10" s="1"/>
  <c r="D38" i="10" s="1"/>
  <c r="B37" i="10"/>
  <c r="E37" i="10" s="1"/>
  <c r="B36" i="10"/>
  <c r="E36" i="10" s="1"/>
  <c r="B34" i="10"/>
  <c r="E34" i="10" s="1"/>
  <c r="B33" i="10"/>
  <c r="E33" i="10" s="1"/>
  <c r="B27" i="10"/>
  <c r="C27" i="10" s="1"/>
  <c r="D27" i="10" s="1"/>
  <c r="B25" i="10"/>
  <c r="E25" i="10" s="1"/>
  <c r="B24" i="10"/>
  <c r="C24" i="10" s="1"/>
  <c r="D24" i="10" s="1"/>
  <c r="B20" i="10"/>
  <c r="E20" i="10" s="1"/>
  <c r="B19" i="10"/>
  <c r="E19" i="10" s="1"/>
  <c r="B18" i="10"/>
  <c r="C18" i="10" s="1"/>
  <c r="D18" i="10" s="1"/>
  <c r="B17" i="10"/>
  <c r="E17" i="10" s="1"/>
  <c r="B16" i="10"/>
  <c r="E16" i="10" s="1"/>
  <c r="B15" i="10"/>
  <c r="C15" i="10" s="1"/>
  <c r="D15" i="10" s="1"/>
  <c r="B14" i="10"/>
  <c r="B13" i="10"/>
  <c r="E13" i="10" s="1"/>
  <c r="B12" i="10"/>
  <c r="C12" i="10" s="1"/>
  <c r="D12" i="10" s="1"/>
  <c r="B11" i="10"/>
  <c r="E11" i="10" s="1"/>
  <c r="B10" i="10"/>
  <c r="C10" i="10" s="1"/>
  <c r="D10" i="10" s="1"/>
  <c r="B9" i="10"/>
  <c r="E9" i="10" s="1"/>
  <c r="B8" i="10"/>
  <c r="C8" i="10" s="1"/>
  <c r="D8" i="10" s="1"/>
  <c r="B7" i="10"/>
  <c r="C7" i="10" s="1"/>
  <c r="D7" i="10" s="1"/>
  <c r="B6" i="10"/>
  <c r="C6" i="10" s="1"/>
  <c r="D6" i="10" s="1"/>
  <c r="B5" i="10"/>
  <c r="C5" i="10" s="1"/>
  <c r="D5" i="10" s="1"/>
  <c r="B4" i="10"/>
  <c r="E4" i="10" s="1"/>
  <c r="B3" i="10"/>
  <c r="C3" i="10" s="1"/>
  <c r="D3" i="10" s="1"/>
  <c r="B2" i="9"/>
  <c r="C42" i="9"/>
  <c r="B42" i="9" s="1"/>
  <c r="AA366" i="10"/>
  <c r="AB366" i="10"/>
  <c r="H366" i="10" s="1"/>
  <c r="AA365" i="10"/>
  <c r="AA364" i="10"/>
  <c r="AA363" i="10"/>
  <c r="AB363" i="10" s="1"/>
  <c r="H363" i="10" s="1"/>
  <c r="AA362" i="10"/>
  <c r="AB362" i="10" s="1"/>
  <c r="H362" i="10" s="1"/>
  <c r="AA361" i="10"/>
  <c r="AB361" i="10"/>
  <c r="H361" i="10" s="1"/>
  <c r="B177" i="10"/>
  <c r="C177" i="10" s="1"/>
  <c r="B176" i="10"/>
  <c r="E176" i="10" s="1"/>
  <c r="B175" i="10"/>
  <c r="E175" i="10" s="1"/>
  <c r="B174" i="10"/>
  <c r="C174" i="10" s="1"/>
  <c r="B173" i="10"/>
  <c r="E173" i="10" s="1"/>
  <c r="B172" i="10"/>
  <c r="E172" i="10" s="1"/>
  <c r="B171" i="10"/>
  <c r="E171" i="10" s="1"/>
  <c r="B170" i="10"/>
  <c r="E170" i="10" s="1"/>
  <c r="B169" i="10"/>
  <c r="E169" i="10" s="1"/>
  <c r="B168" i="10"/>
  <c r="E168" i="10" s="1"/>
  <c r="B167" i="10"/>
  <c r="E167" i="10" s="1"/>
  <c r="B166" i="10"/>
  <c r="E166" i="10" s="1"/>
  <c r="B165" i="10"/>
  <c r="E165" i="10" s="1"/>
  <c r="B164" i="10"/>
  <c r="E164" i="10" s="1"/>
  <c r="B163" i="10"/>
  <c r="C163" i="10" s="1"/>
  <c r="B162" i="10"/>
  <c r="C162" i="10" s="1"/>
  <c r="B161" i="10"/>
  <c r="E161" i="10" s="1"/>
  <c r="B160" i="10"/>
  <c r="E160" i="10" s="1"/>
  <c r="B159" i="10"/>
  <c r="E159" i="10" s="1"/>
  <c r="B158" i="10"/>
  <c r="E158" i="10" s="1"/>
  <c r="B157" i="10"/>
  <c r="E157" i="10" s="1"/>
  <c r="B156" i="10"/>
  <c r="E156" i="10" s="1"/>
  <c r="B155" i="10"/>
  <c r="C155" i="10" s="1"/>
  <c r="B154" i="10"/>
  <c r="C154" i="10" s="1"/>
  <c r="B153" i="10"/>
  <c r="C153" i="10" s="1"/>
  <c r="B152" i="10"/>
  <c r="E152" i="10" s="1"/>
  <c r="B151" i="10"/>
  <c r="E151" i="10" s="1"/>
  <c r="B150" i="10"/>
  <c r="C150" i="10" s="1"/>
  <c r="B149" i="10"/>
  <c r="C149" i="10" s="1"/>
  <c r="B148" i="10"/>
  <c r="C148" i="10" s="1"/>
  <c r="B147" i="10"/>
  <c r="E147" i="10" s="1"/>
  <c r="B146" i="10"/>
  <c r="E146" i="10" s="1"/>
  <c r="B145" i="10"/>
  <c r="E145" i="10" s="1"/>
  <c r="B144" i="10"/>
  <c r="E144" i="10" s="1"/>
  <c r="B143" i="10"/>
  <c r="E143" i="10" s="1"/>
  <c r="B142" i="10"/>
  <c r="C142" i="10" s="1"/>
  <c r="B141" i="10"/>
  <c r="E141" i="10" s="1"/>
  <c r="B140" i="10"/>
  <c r="C140" i="10" s="1"/>
  <c r="I3" i="7"/>
  <c r="D3" i="7"/>
  <c r="T16" i="12"/>
  <c r="B64" i="9"/>
  <c r="B62" i="9"/>
  <c r="B63" i="9" s="1"/>
  <c r="B4" i="9"/>
  <c r="A3" i="8" s="1"/>
  <c r="C2" i="9"/>
  <c r="C40" i="9"/>
  <c r="B40" i="9" s="1"/>
  <c r="C41" i="9"/>
  <c r="B41" i="9" s="1"/>
  <c r="H21" i="6"/>
  <c r="G21" i="6"/>
  <c r="F21" i="6"/>
  <c r="E21" i="6"/>
  <c r="D21" i="6"/>
  <c r="C21" i="6"/>
  <c r="M370" i="10"/>
  <c r="W370" i="10"/>
  <c r="X370" i="10"/>
  <c r="AA370" i="10" s="1"/>
  <c r="O53" i="7"/>
  <c r="B5" i="9"/>
  <c r="N69" i="14"/>
  <c r="M69" i="14"/>
  <c r="K69" i="14"/>
  <c r="J69" i="14"/>
  <c r="I69" i="14"/>
  <c r="N68" i="14"/>
  <c r="M68" i="14"/>
  <c r="K68" i="14"/>
  <c r="J68" i="14"/>
  <c r="I68" i="14"/>
  <c r="N67" i="14"/>
  <c r="M67" i="14"/>
  <c r="K67" i="14"/>
  <c r="J67" i="14"/>
  <c r="N65" i="14"/>
  <c r="M65" i="14"/>
  <c r="K65" i="14"/>
  <c r="J65" i="14"/>
  <c r="I65" i="14"/>
  <c r="N64" i="14"/>
  <c r="M64" i="14"/>
  <c r="K64" i="14"/>
  <c r="J64" i="14"/>
  <c r="I64" i="14"/>
  <c r="N63" i="14"/>
  <c r="M63" i="14"/>
  <c r="K63" i="14"/>
  <c r="J63" i="14"/>
  <c r="N61" i="14"/>
  <c r="M61" i="14"/>
  <c r="K61" i="14"/>
  <c r="J61" i="14"/>
  <c r="I61" i="14"/>
  <c r="N60" i="14"/>
  <c r="M60" i="14"/>
  <c r="K60" i="14"/>
  <c r="J60" i="14"/>
  <c r="I60" i="14"/>
  <c r="N59" i="14"/>
  <c r="M59" i="14"/>
  <c r="K59" i="14"/>
  <c r="J59" i="14"/>
  <c r="N57" i="14"/>
  <c r="M57" i="14"/>
  <c r="K57" i="14"/>
  <c r="J57" i="14"/>
  <c r="I57" i="14"/>
  <c r="N56" i="14"/>
  <c r="M56" i="14"/>
  <c r="K56" i="14"/>
  <c r="J56" i="14"/>
  <c r="I56" i="14"/>
  <c r="N55" i="14"/>
  <c r="M55" i="14"/>
  <c r="K55" i="14"/>
  <c r="J55" i="14"/>
  <c r="N53" i="14"/>
  <c r="M53" i="14"/>
  <c r="K53" i="14"/>
  <c r="J53" i="14"/>
  <c r="I53" i="14"/>
  <c r="N52" i="14"/>
  <c r="M52" i="14"/>
  <c r="K52" i="14"/>
  <c r="J52" i="14"/>
  <c r="I52" i="14"/>
  <c r="N51" i="14"/>
  <c r="M51" i="14"/>
  <c r="K51" i="14"/>
  <c r="J51" i="14"/>
  <c r="N49" i="14"/>
  <c r="M49" i="14"/>
  <c r="K49" i="14"/>
  <c r="J49" i="14"/>
  <c r="I49" i="14"/>
  <c r="N48" i="14"/>
  <c r="N50" i="14" s="1"/>
  <c r="M48" i="14"/>
  <c r="K48" i="14"/>
  <c r="J48" i="14"/>
  <c r="I48" i="14"/>
  <c r="N47" i="14"/>
  <c r="M47" i="14"/>
  <c r="K47" i="14"/>
  <c r="J47" i="14"/>
  <c r="N45" i="14"/>
  <c r="M45" i="14"/>
  <c r="K45" i="14"/>
  <c r="J45" i="14"/>
  <c r="I45" i="14"/>
  <c r="N44" i="14"/>
  <c r="M44" i="14"/>
  <c r="K44" i="14"/>
  <c r="J44" i="14"/>
  <c r="I44" i="14"/>
  <c r="N43" i="14"/>
  <c r="M43" i="14"/>
  <c r="K43" i="14"/>
  <c r="J43" i="14"/>
  <c r="Z265" i="14"/>
  <c r="Z264" i="14"/>
  <c r="Z261" i="14"/>
  <c r="Z260" i="14"/>
  <c r="Z257" i="14"/>
  <c r="Z256" i="14"/>
  <c r="Z253" i="14"/>
  <c r="Z252" i="14"/>
  <c r="Z249" i="14"/>
  <c r="Z248" i="14"/>
  <c r="Z245" i="14"/>
  <c r="Z244" i="14"/>
  <c r="Z241" i="14"/>
  <c r="Z240" i="14"/>
  <c r="Z237" i="14"/>
  <c r="Z236" i="14"/>
  <c r="Z233" i="14"/>
  <c r="Z232" i="14"/>
  <c r="Z229" i="14"/>
  <c r="Z228" i="14"/>
  <c r="Z225" i="14"/>
  <c r="Z224" i="14"/>
  <c r="Z221" i="14"/>
  <c r="Z220" i="14"/>
  <c r="Z217" i="14"/>
  <c r="Z216" i="14"/>
  <c r="Z213" i="14"/>
  <c r="Z212" i="14"/>
  <c r="Z209" i="14"/>
  <c r="Z208" i="14"/>
  <c r="Z205" i="14"/>
  <c r="Z204" i="14"/>
  <c r="Z201" i="14"/>
  <c r="Z200" i="14"/>
  <c r="Z197" i="14"/>
  <c r="Z196" i="14"/>
  <c r="Z193" i="14"/>
  <c r="Z192" i="14"/>
  <c r="Z189" i="14"/>
  <c r="Z188" i="14"/>
  <c r="Z185" i="14"/>
  <c r="Z184" i="14"/>
  <c r="Z181" i="14"/>
  <c r="Z180" i="14"/>
  <c r="Z177" i="14"/>
  <c r="Z176" i="14"/>
  <c r="Z173" i="14"/>
  <c r="Z172" i="14"/>
  <c r="Z169" i="14"/>
  <c r="Z168" i="14"/>
  <c r="Z165" i="14"/>
  <c r="Z164" i="14"/>
  <c r="Z161" i="14"/>
  <c r="Z160" i="14"/>
  <c r="Z157" i="14"/>
  <c r="Z156" i="14"/>
  <c r="Z153" i="14"/>
  <c r="Z152" i="14"/>
  <c r="Z149" i="14"/>
  <c r="Z148" i="14"/>
  <c r="Z145" i="14"/>
  <c r="Z144" i="14"/>
  <c r="Z141" i="14"/>
  <c r="Z140" i="14"/>
  <c r="Z137" i="14"/>
  <c r="Z136" i="14"/>
  <c r="Z133" i="14"/>
  <c r="Z132" i="14"/>
  <c r="Z129" i="14"/>
  <c r="Z128" i="14"/>
  <c r="Z125" i="14"/>
  <c r="Z124" i="14"/>
  <c r="Z121" i="14"/>
  <c r="Z120" i="14"/>
  <c r="Z117" i="14"/>
  <c r="Z116" i="14"/>
  <c r="Z113" i="14"/>
  <c r="Z112" i="14"/>
  <c r="Z109" i="14"/>
  <c r="Z108" i="14"/>
  <c r="K41" i="14"/>
  <c r="B30" i="14"/>
  <c r="I38" i="14"/>
  <c r="I66" i="14"/>
  <c r="I50" i="14"/>
  <c r="I46" i="14"/>
  <c r="I62" i="14"/>
  <c r="I58" i="14"/>
  <c r="I54" i="14"/>
  <c r="I70" i="14"/>
  <c r="B28" i="14"/>
  <c r="M17" i="14"/>
  <c r="M25" i="14"/>
  <c r="J23" i="14"/>
  <c r="K15" i="14"/>
  <c r="K20" i="14"/>
  <c r="I24" i="14"/>
  <c r="I30" i="14"/>
  <c r="N21" i="14"/>
  <c r="N19" i="14"/>
  <c r="K27" i="14"/>
  <c r="J16" i="14"/>
  <c r="I21" i="14"/>
  <c r="N24" i="14"/>
  <c r="I34" i="14"/>
  <c r="K16" i="14"/>
  <c r="N17" i="14"/>
  <c r="J21" i="14"/>
  <c r="J24" i="14"/>
  <c r="N25" i="14"/>
  <c r="M27" i="14"/>
  <c r="M32" i="14"/>
  <c r="I36" i="14"/>
  <c r="M37" i="14"/>
  <c r="N41" i="14"/>
  <c r="N15" i="14"/>
  <c r="M16" i="14"/>
  <c r="J17" i="14"/>
  <c r="K19" i="14"/>
  <c r="I20" i="14"/>
  <c r="N20" i="14"/>
  <c r="K21" i="14"/>
  <c r="I22" i="14"/>
  <c r="M23" i="14"/>
  <c r="K24" i="14"/>
  <c r="J25" i="14"/>
  <c r="I26" i="14"/>
  <c r="N27" i="14"/>
  <c r="M28" i="14"/>
  <c r="K29" i="14"/>
  <c r="J31" i="14"/>
  <c r="I32" i="14"/>
  <c r="N32" i="14"/>
  <c r="M33" i="14"/>
  <c r="K35" i="14"/>
  <c r="J36" i="14"/>
  <c r="I37" i="14"/>
  <c r="N37" i="14"/>
  <c r="M39" i="14"/>
  <c r="K40" i="14"/>
  <c r="J41" i="14"/>
  <c r="I42" i="14"/>
  <c r="B29" i="14"/>
  <c r="J28" i="14"/>
  <c r="I29" i="14"/>
  <c r="N29" i="14"/>
  <c r="M31" i="14"/>
  <c r="K32" i="14"/>
  <c r="J33" i="14"/>
  <c r="N35" i="14"/>
  <c r="M36" i="14"/>
  <c r="K37" i="14"/>
  <c r="J39" i="14"/>
  <c r="I40" i="14"/>
  <c r="N40" i="14"/>
  <c r="M41" i="14"/>
  <c r="M15" i="14"/>
  <c r="I17" i="14"/>
  <c r="M18" i="14" s="1"/>
  <c r="J19" i="14"/>
  <c r="M20" i="14"/>
  <c r="K23" i="14"/>
  <c r="I25" i="14"/>
  <c r="K28" i="14"/>
  <c r="J29" i="14"/>
  <c r="N31" i="14"/>
  <c r="K33" i="14"/>
  <c r="J35" i="14"/>
  <c r="N36" i="14"/>
  <c r="K39" i="14"/>
  <c r="J40" i="14"/>
  <c r="I41" i="14"/>
  <c r="J15" i="14"/>
  <c r="I16" i="14"/>
  <c r="N16" i="14"/>
  <c r="K17" i="14"/>
  <c r="I18" i="14"/>
  <c r="M19" i="14"/>
  <c r="J20" i="14"/>
  <c r="M21" i="14"/>
  <c r="N23" i="14"/>
  <c r="M24" i="14"/>
  <c r="K25" i="14"/>
  <c r="J27" i="14"/>
  <c r="I28" i="14"/>
  <c r="N28" i="14"/>
  <c r="M29" i="14"/>
  <c r="K31" i="14"/>
  <c r="J32" i="14"/>
  <c r="I33" i="14"/>
  <c r="N33" i="14"/>
  <c r="M35" i="14"/>
  <c r="K36" i="14"/>
  <c r="J37" i="14"/>
  <c r="J38" i="14" s="1"/>
  <c r="N39" i="14"/>
  <c r="M40" i="14"/>
  <c r="T15" i="12"/>
  <c r="T14" i="12"/>
  <c r="T13" i="12"/>
  <c r="T12" i="12"/>
  <c r="T11" i="12"/>
  <c r="T10" i="12"/>
  <c r="T9" i="12"/>
  <c r="T8" i="12"/>
  <c r="B1" i="12"/>
  <c r="M10" i="12" s="1"/>
  <c r="K16" i="12"/>
  <c r="L16" i="12" s="1"/>
  <c r="K15" i="12"/>
  <c r="L15" i="12" s="1"/>
  <c r="K14" i="12"/>
  <c r="L14" i="12" s="1"/>
  <c r="K13" i="12"/>
  <c r="L13" i="12" s="1"/>
  <c r="K12" i="12"/>
  <c r="L12" i="12" s="1"/>
  <c r="K11" i="12"/>
  <c r="K10" i="12"/>
  <c r="L10" i="12"/>
  <c r="K9" i="12"/>
  <c r="L9" i="12" s="1"/>
  <c r="K8" i="12"/>
  <c r="L8" i="12" s="1"/>
  <c r="L11" i="12"/>
  <c r="M378" i="10"/>
  <c r="L378" i="10"/>
  <c r="M377" i="10"/>
  <c r="W377" i="10" s="1"/>
  <c r="L377" i="10"/>
  <c r="M376" i="10"/>
  <c r="L376" i="10"/>
  <c r="M375" i="10"/>
  <c r="L375" i="10"/>
  <c r="M374" i="10"/>
  <c r="G374" i="10" s="1"/>
  <c r="L374" i="10"/>
  <c r="M373" i="10"/>
  <c r="L373" i="10"/>
  <c r="M372" i="10"/>
  <c r="G372" i="10" s="1"/>
  <c r="L372" i="10"/>
  <c r="M371" i="10"/>
  <c r="L371" i="10"/>
  <c r="L370" i="10"/>
  <c r="X373" i="10"/>
  <c r="G370" i="10"/>
  <c r="AA317" i="10"/>
  <c r="AB317" i="10" s="1"/>
  <c r="AT342" i="13"/>
  <c r="AU342" i="13" s="1"/>
  <c r="M341" i="13" s="1"/>
  <c r="AP342" i="13"/>
  <c r="J341" i="13" s="1"/>
  <c r="AL342" i="13"/>
  <c r="AM342" i="13" s="1"/>
  <c r="I341" i="13" s="1"/>
  <c r="AH342" i="13"/>
  <c r="AD342" i="13"/>
  <c r="AE342" i="13" s="1"/>
  <c r="Z342" i="13"/>
  <c r="AA342" i="13" s="1"/>
  <c r="V342" i="13"/>
  <c r="W342" i="13" s="1"/>
  <c r="R342" i="13"/>
  <c r="S342" i="13" s="1"/>
  <c r="AT341" i="13"/>
  <c r="AP341" i="13"/>
  <c r="AL341" i="13"/>
  <c r="AH341" i="13"/>
  <c r="AD341" i="13"/>
  <c r="AE341" i="13" s="1"/>
  <c r="Z341" i="13"/>
  <c r="AA341" i="13"/>
  <c r="V341" i="13"/>
  <c r="W341" i="13" s="1"/>
  <c r="R341" i="13"/>
  <c r="S341" i="13" s="1"/>
  <c r="AT340" i="13"/>
  <c r="AP340" i="13"/>
  <c r="AL340" i="13"/>
  <c r="AH340" i="13"/>
  <c r="AI340" i="13" s="1"/>
  <c r="G339" i="13" s="1"/>
  <c r="AD340" i="13"/>
  <c r="AE340" i="13" s="1"/>
  <c r="Z340" i="13"/>
  <c r="AA340" i="13" s="1"/>
  <c r="V340" i="13"/>
  <c r="W340" i="13" s="1"/>
  <c r="R340" i="13"/>
  <c r="S340" i="13" s="1"/>
  <c r="AT339" i="13"/>
  <c r="AU339" i="13" s="1"/>
  <c r="M338" i="13" s="1"/>
  <c r="AP339" i="13"/>
  <c r="AQ339" i="13" s="1"/>
  <c r="K338" i="13" s="1"/>
  <c r="AL339" i="13"/>
  <c r="AM339" i="13"/>
  <c r="I338" i="13" s="1"/>
  <c r="AH339" i="13"/>
  <c r="AD339" i="13"/>
  <c r="AE339" i="13" s="1"/>
  <c r="Z339" i="13"/>
  <c r="AA339" i="13" s="1"/>
  <c r="V339" i="13"/>
  <c r="W339" i="13" s="1"/>
  <c r="R339" i="13"/>
  <c r="S339" i="13" s="1"/>
  <c r="AT338" i="13"/>
  <c r="AU338" i="13" s="1"/>
  <c r="M337" i="13" s="1"/>
  <c r="AP338" i="13"/>
  <c r="AL338" i="13"/>
  <c r="AH338" i="13"/>
  <c r="F337" i="13" s="1"/>
  <c r="AD338" i="13"/>
  <c r="AE338" i="13" s="1"/>
  <c r="Z338" i="13"/>
  <c r="AA338" i="13" s="1"/>
  <c r="V338" i="13"/>
  <c r="W338" i="13" s="1"/>
  <c r="R338" i="13"/>
  <c r="S338" i="13"/>
  <c r="H338" i="13"/>
  <c r="AT337" i="13"/>
  <c r="AP337" i="13"/>
  <c r="AQ337" i="13" s="1"/>
  <c r="K336" i="13" s="1"/>
  <c r="AL337" i="13"/>
  <c r="AH337" i="13"/>
  <c r="AI337" i="13" s="1"/>
  <c r="G336" i="13" s="1"/>
  <c r="AD337" i="13"/>
  <c r="AE337" i="13" s="1"/>
  <c r="Z337" i="13"/>
  <c r="AA337" i="13" s="1"/>
  <c r="V337" i="13"/>
  <c r="W337" i="13" s="1"/>
  <c r="R337" i="13"/>
  <c r="S337" i="13" s="1"/>
  <c r="AT336" i="13"/>
  <c r="L335" i="13" s="1"/>
  <c r="AP336" i="13"/>
  <c r="AL336" i="13"/>
  <c r="AM336" i="13"/>
  <c r="I335" i="13" s="1"/>
  <c r="AH336" i="13"/>
  <c r="AI336" i="13" s="1"/>
  <c r="AD336" i="13"/>
  <c r="AE336" i="13" s="1"/>
  <c r="Z336" i="13"/>
  <c r="AA336" i="13" s="1"/>
  <c r="V336" i="13"/>
  <c r="W336" i="13" s="1"/>
  <c r="R336" i="13"/>
  <c r="S336" i="13" s="1"/>
  <c r="G335" i="13"/>
  <c r="AT335" i="13"/>
  <c r="AP335" i="13"/>
  <c r="AQ335" i="13" s="1"/>
  <c r="K334" i="13" s="1"/>
  <c r="AL335" i="13"/>
  <c r="H334" i="13" s="1"/>
  <c r="AH335" i="13"/>
  <c r="AD335" i="13"/>
  <c r="AE335" i="13" s="1"/>
  <c r="Z335" i="13"/>
  <c r="AA335" i="13" s="1"/>
  <c r="V335" i="13"/>
  <c r="W335" i="13" s="1"/>
  <c r="R335" i="13"/>
  <c r="S335" i="13" s="1"/>
  <c r="AT334" i="13"/>
  <c r="AP334" i="13"/>
  <c r="AQ334" i="13" s="1"/>
  <c r="AL334" i="13"/>
  <c r="AH334" i="13"/>
  <c r="F333" i="13" s="1"/>
  <c r="AD334" i="13"/>
  <c r="AE334" i="13" s="1"/>
  <c r="Z334" i="13"/>
  <c r="AA334" i="13" s="1"/>
  <c r="V334" i="13"/>
  <c r="W334" i="13"/>
  <c r="R334" i="13"/>
  <c r="S334" i="13" s="1"/>
  <c r="AT333" i="13"/>
  <c r="AU333" i="13" s="1"/>
  <c r="M332" i="13" s="1"/>
  <c r="AP333" i="13"/>
  <c r="J332" i="13" s="1"/>
  <c r="AL333" i="13"/>
  <c r="H332" i="13" s="1"/>
  <c r="AH333" i="13"/>
  <c r="AI333" i="13"/>
  <c r="G332" i="13" s="1"/>
  <c r="AD333" i="13"/>
  <c r="AE333" i="13"/>
  <c r="Z333" i="13"/>
  <c r="AA333" i="13" s="1"/>
  <c r="V333" i="13"/>
  <c r="W333" i="13" s="1"/>
  <c r="R333" i="13"/>
  <c r="S333" i="13" s="1"/>
  <c r="AT332" i="13"/>
  <c r="AP332" i="13"/>
  <c r="J331" i="13"/>
  <c r="AL332" i="13"/>
  <c r="AM332" i="13"/>
  <c r="I331" i="13" s="1"/>
  <c r="AH332" i="13"/>
  <c r="AI332" i="13" s="1"/>
  <c r="G331" i="13" s="1"/>
  <c r="AD332" i="13"/>
  <c r="AE332" i="13"/>
  <c r="Z332" i="13"/>
  <c r="AA332" i="13" s="1"/>
  <c r="V332" i="13"/>
  <c r="W332" i="13" s="1"/>
  <c r="R332" i="13"/>
  <c r="S332" i="13" s="1"/>
  <c r="AT331" i="13"/>
  <c r="L330" i="13" s="1"/>
  <c r="AP331" i="13"/>
  <c r="J330" i="13" s="1"/>
  <c r="AQ331" i="13"/>
  <c r="K330" i="13" s="1"/>
  <c r="AL331" i="13"/>
  <c r="AH331" i="13"/>
  <c r="F330" i="13" s="1"/>
  <c r="AD331" i="13"/>
  <c r="AE331" i="13" s="1"/>
  <c r="Z331" i="13"/>
  <c r="AA331" i="13"/>
  <c r="V331" i="13"/>
  <c r="W331" i="13" s="1"/>
  <c r="R331" i="13"/>
  <c r="S331" i="13" s="1"/>
  <c r="F331" i="13"/>
  <c r="AT330" i="13"/>
  <c r="AP330" i="13"/>
  <c r="AQ330" i="13" s="1"/>
  <c r="AL330" i="13"/>
  <c r="AM330" i="13"/>
  <c r="I329" i="13" s="1"/>
  <c r="AH330" i="13"/>
  <c r="F329" i="13" s="1"/>
  <c r="AD330" i="13"/>
  <c r="AE330" i="13" s="1"/>
  <c r="Z330" i="13"/>
  <c r="AA330" i="13" s="1"/>
  <c r="V330" i="13"/>
  <c r="W330" i="13" s="1"/>
  <c r="R330" i="13"/>
  <c r="S330" i="13"/>
  <c r="AT329" i="13"/>
  <c r="AP329" i="13"/>
  <c r="AQ329" i="13"/>
  <c r="K328" i="13" s="1"/>
  <c r="AL329" i="13"/>
  <c r="AH329" i="13"/>
  <c r="AI329" i="13" s="1"/>
  <c r="G328" i="13" s="1"/>
  <c r="AD329" i="13"/>
  <c r="AE329" i="13"/>
  <c r="Z329" i="13"/>
  <c r="AA329" i="13" s="1"/>
  <c r="V329" i="13"/>
  <c r="W329" i="13" s="1"/>
  <c r="R329" i="13"/>
  <c r="S329" i="13" s="1"/>
  <c r="H329" i="13"/>
  <c r="AT328" i="13"/>
  <c r="AU328" i="13" s="1"/>
  <c r="M327" i="13" s="1"/>
  <c r="AP328" i="13"/>
  <c r="J327" i="13" s="1"/>
  <c r="AL328" i="13"/>
  <c r="AM328" i="13" s="1"/>
  <c r="I327" i="13" s="1"/>
  <c r="AH328" i="13"/>
  <c r="AD328" i="13"/>
  <c r="AE328" i="13" s="1"/>
  <c r="Z328" i="13"/>
  <c r="AA328" i="13" s="1"/>
  <c r="V328" i="13"/>
  <c r="W328" i="13" s="1"/>
  <c r="R328" i="13"/>
  <c r="S328" i="13" s="1"/>
  <c r="B327" i="13"/>
  <c r="AT323" i="13"/>
  <c r="AU323" i="13"/>
  <c r="AP323" i="13"/>
  <c r="AQ323" i="13" s="1"/>
  <c r="AL323" i="13"/>
  <c r="AM323" i="13"/>
  <c r="AH323" i="13"/>
  <c r="AI323" i="13" s="1"/>
  <c r="AD323" i="13"/>
  <c r="Z323" i="13"/>
  <c r="V323" i="13"/>
  <c r="R323" i="13"/>
  <c r="AT322" i="13"/>
  <c r="AU322" i="13" s="1"/>
  <c r="AP322" i="13"/>
  <c r="AQ322" i="13" s="1"/>
  <c r="AL322" i="13"/>
  <c r="AM322" i="13" s="1"/>
  <c r="AH322" i="13"/>
  <c r="AI322" i="13" s="1"/>
  <c r="AD322" i="13"/>
  <c r="L321" i="13" s="1"/>
  <c r="Z322" i="13"/>
  <c r="AA322" i="13"/>
  <c r="K321" i="13" s="1"/>
  <c r="V322" i="13"/>
  <c r="R322" i="13"/>
  <c r="S322" i="13" s="1"/>
  <c r="G321" i="13" s="1"/>
  <c r="AT321" i="13"/>
  <c r="AU321" i="13"/>
  <c r="AP321" i="13"/>
  <c r="AQ321" i="13" s="1"/>
  <c r="AL321" i="13"/>
  <c r="AM321" i="13" s="1"/>
  <c r="AH321" i="13"/>
  <c r="AI321" i="13"/>
  <c r="AD321" i="13"/>
  <c r="Z321" i="13"/>
  <c r="V321" i="13"/>
  <c r="R321" i="13"/>
  <c r="J321" i="13"/>
  <c r="AT320" i="13"/>
  <c r="AU320" i="13" s="1"/>
  <c r="AP320" i="13"/>
  <c r="AL320" i="13"/>
  <c r="AM320" i="13" s="1"/>
  <c r="AH320" i="13"/>
  <c r="AD320" i="13"/>
  <c r="AE320" i="13"/>
  <c r="Z320" i="13"/>
  <c r="AA320" i="13" s="1"/>
  <c r="K319" i="13" s="1"/>
  <c r="V320" i="13"/>
  <c r="W320" i="13" s="1"/>
  <c r="R320" i="13"/>
  <c r="S320" i="13" s="1"/>
  <c r="AT319" i="13"/>
  <c r="AU319" i="13" s="1"/>
  <c r="AP319" i="13"/>
  <c r="AQ319" i="13" s="1"/>
  <c r="AL319" i="13"/>
  <c r="AM319" i="13" s="1"/>
  <c r="AH319" i="13"/>
  <c r="AI319" i="13" s="1"/>
  <c r="AD319" i="13"/>
  <c r="Z319" i="13"/>
  <c r="J318" i="13" s="1"/>
  <c r="V319" i="13"/>
  <c r="R319" i="13"/>
  <c r="S319" i="13" s="1"/>
  <c r="G318" i="13" s="1"/>
  <c r="L319" i="13"/>
  <c r="AT318" i="13"/>
  <c r="AU318" i="13" s="1"/>
  <c r="AP318" i="13"/>
  <c r="AQ318" i="13" s="1"/>
  <c r="AL318" i="13"/>
  <c r="AM318" i="13" s="1"/>
  <c r="AH318" i="13"/>
  <c r="AI318" i="13" s="1"/>
  <c r="AD318" i="13"/>
  <c r="AE318" i="13" s="1"/>
  <c r="M317" i="13" s="1"/>
  <c r="Z318" i="13"/>
  <c r="AA318" i="13" s="1"/>
  <c r="V318" i="13"/>
  <c r="R318" i="13"/>
  <c r="AT317" i="13"/>
  <c r="AP317" i="13"/>
  <c r="AQ317" i="13"/>
  <c r="AL317" i="13"/>
  <c r="AH317" i="13"/>
  <c r="AI317" i="13" s="1"/>
  <c r="AD317" i="13"/>
  <c r="AE317" i="13" s="1"/>
  <c r="Z317" i="13"/>
  <c r="J316" i="13" s="1"/>
  <c r="V317" i="13"/>
  <c r="W317" i="13" s="1"/>
  <c r="I316" i="13" s="1"/>
  <c r="R317" i="13"/>
  <c r="S317" i="13"/>
  <c r="G316" i="13" s="1"/>
  <c r="AT316" i="13"/>
  <c r="AU316" i="13" s="1"/>
  <c r="AP316" i="13"/>
  <c r="AQ316" i="13" s="1"/>
  <c r="AL316" i="13"/>
  <c r="AM316" i="13" s="1"/>
  <c r="AH316" i="13"/>
  <c r="AI316" i="13"/>
  <c r="AD316" i="13"/>
  <c r="AE316" i="13" s="1"/>
  <c r="Z316" i="13"/>
  <c r="V316" i="13"/>
  <c r="R316" i="13"/>
  <c r="S316" i="13"/>
  <c r="G315" i="13" s="1"/>
  <c r="AT315" i="13"/>
  <c r="AU315" i="13" s="1"/>
  <c r="AP315" i="13"/>
  <c r="AQ315" i="13" s="1"/>
  <c r="AL315" i="13"/>
  <c r="AM315" i="13" s="1"/>
  <c r="AH315" i="13"/>
  <c r="AI315" i="13" s="1"/>
  <c r="AD315" i="13"/>
  <c r="AE315" i="13"/>
  <c r="Z315" i="13"/>
  <c r="AA315" i="13" s="1"/>
  <c r="K314" i="13" s="1"/>
  <c r="V315" i="13"/>
  <c r="W315" i="13" s="1"/>
  <c r="I314" i="13" s="1"/>
  <c r="R315" i="13"/>
  <c r="S315" i="13" s="1"/>
  <c r="AT314" i="13"/>
  <c r="AU314" i="13" s="1"/>
  <c r="AP314" i="13"/>
  <c r="AL314" i="13"/>
  <c r="AM314" i="13"/>
  <c r="AH314" i="13"/>
  <c r="AI314" i="13" s="1"/>
  <c r="AD314" i="13"/>
  <c r="AE314" i="13" s="1"/>
  <c r="Z314" i="13"/>
  <c r="AA314" i="13" s="1"/>
  <c r="V314" i="13"/>
  <c r="W314" i="13"/>
  <c r="R314" i="13"/>
  <c r="S314" i="13" s="1"/>
  <c r="G313" i="13" s="1"/>
  <c r="AT313" i="13"/>
  <c r="AU313" i="13" s="1"/>
  <c r="AP313" i="13"/>
  <c r="AQ313" i="13" s="1"/>
  <c r="AL313" i="13"/>
  <c r="AM313" i="13" s="1"/>
  <c r="AH313" i="13"/>
  <c r="AI313" i="13" s="1"/>
  <c r="AD313" i="13"/>
  <c r="Z313" i="13"/>
  <c r="V313" i="13"/>
  <c r="R313" i="13"/>
  <c r="S313" i="13" s="1"/>
  <c r="G312" i="13" s="1"/>
  <c r="AT312" i="13"/>
  <c r="AU312" i="13" s="1"/>
  <c r="AP312" i="13"/>
  <c r="AQ312" i="13" s="1"/>
  <c r="AL312" i="13"/>
  <c r="AM312" i="13" s="1"/>
  <c r="AH312" i="13"/>
  <c r="AI312" i="13" s="1"/>
  <c r="AD312" i="13"/>
  <c r="AE312" i="13" s="1"/>
  <c r="Z312" i="13"/>
  <c r="AA312" i="13" s="1"/>
  <c r="V312" i="13"/>
  <c r="R312" i="13"/>
  <c r="S312" i="13" s="1"/>
  <c r="F312" i="13"/>
  <c r="AT311" i="13"/>
  <c r="AP311" i="13"/>
  <c r="AQ311" i="13" s="1"/>
  <c r="AL311" i="13"/>
  <c r="AH311" i="13"/>
  <c r="AI311" i="13" s="1"/>
  <c r="AD311" i="13"/>
  <c r="AE311" i="13" s="1"/>
  <c r="Z311" i="13"/>
  <c r="AA311" i="13" s="1"/>
  <c r="V311" i="13"/>
  <c r="W311" i="13"/>
  <c r="R311" i="13"/>
  <c r="S311" i="13" s="1"/>
  <c r="G310" i="13" s="1"/>
  <c r="AT310" i="13"/>
  <c r="AU310" i="13"/>
  <c r="AP310" i="13"/>
  <c r="AQ310" i="13" s="1"/>
  <c r="AL310" i="13"/>
  <c r="AM310" i="13" s="1"/>
  <c r="AH310" i="13"/>
  <c r="AI310" i="13" s="1"/>
  <c r="AD310" i="13"/>
  <c r="L309" i="13" s="1"/>
  <c r="AE310" i="13"/>
  <c r="M309" i="13" s="1"/>
  <c r="Z310" i="13"/>
  <c r="V310" i="13"/>
  <c r="R310" i="13"/>
  <c r="AT309" i="13"/>
  <c r="AU309" i="13" s="1"/>
  <c r="AP309" i="13"/>
  <c r="AQ309" i="13" s="1"/>
  <c r="AL309" i="13"/>
  <c r="AM309" i="13" s="1"/>
  <c r="AH309" i="13"/>
  <c r="AI309" i="13"/>
  <c r="AD309" i="13"/>
  <c r="L308" i="13" s="1"/>
  <c r="Z309" i="13"/>
  <c r="V309" i="13"/>
  <c r="W309" i="13" s="1"/>
  <c r="I308" i="13" s="1"/>
  <c r="R309" i="13"/>
  <c r="H308" i="13"/>
  <c r="B308" i="13"/>
  <c r="AT304" i="13"/>
  <c r="L303" i="13" s="1"/>
  <c r="AP304" i="13"/>
  <c r="AQ304" i="13" s="1"/>
  <c r="AL304" i="13"/>
  <c r="AM304" i="13" s="1"/>
  <c r="I303" i="13" s="1"/>
  <c r="AH304" i="13"/>
  <c r="AI304" i="13" s="1"/>
  <c r="AD304" i="13"/>
  <c r="AE304" i="13" s="1"/>
  <c r="Z304" i="13"/>
  <c r="AA304" i="13" s="1"/>
  <c r="V304" i="13"/>
  <c r="W304" i="13" s="1"/>
  <c r="R304" i="13"/>
  <c r="S304" i="13" s="1"/>
  <c r="AT303" i="13"/>
  <c r="AU303" i="13" s="1"/>
  <c r="M302" i="13" s="1"/>
  <c r="AP303" i="13"/>
  <c r="J302" i="13" s="1"/>
  <c r="AL303" i="13"/>
  <c r="AM303" i="13" s="1"/>
  <c r="I302" i="13" s="1"/>
  <c r="AH303" i="13"/>
  <c r="AI303" i="13" s="1"/>
  <c r="G302" i="13" s="1"/>
  <c r="AD303" i="13"/>
  <c r="AE303" i="13" s="1"/>
  <c r="Z303" i="13"/>
  <c r="AA303" i="13" s="1"/>
  <c r="V303" i="13"/>
  <c r="W303" i="13" s="1"/>
  <c r="R303" i="13"/>
  <c r="S303" i="13"/>
  <c r="AT302" i="13"/>
  <c r="AU302" i="13" s="1"/>
  <c r="M301" i="13" s="1"/>
  <c r="AP302" i="13"/>
  <c r="AQ302" i="13" s="1"/>
  <c r="AL302" i="13"/>
  <c r="AM302" i="13" s="1"/>
  <c r="AH302" i="13"/>
  <c r="AI302" i="13" s="1"/>
  <c r="G301" i="13" s="1"/>
  <c r="AD302" i="13"/>
  <c r="AE302" i="13" s="1"/>
  <c r="Z302" i="13"/>
  <c r="AA302" i="13" s="1"/>
  <c r="V302" i="13"/>
  <c r="W302" i="13" s="1"/>
  <c r="R302" i="13"/>
  <c r="S302" i="13" s="1"/>
  <c r="AT301" i="13"/>
  <c r="AU301" i="13" s="1"/>
  <c r="AP301" i="13"/>
  <c r="AL301" i="13"/>
  <c r="AM301" i="13" s="1"/>
  <c r="I300" i="13" s="1"/>
  <c r="AH301" i="13"/>
  <c r="AD301" i="13"/>
  <c r="AE301" i="13" s="1"/>
  <c r="Z301" i="13"/>
  <c r="V301" i="13"/>
  <c r="W301" i="13" s="1"/>
  <c r="R301" i="13"/>
  <c r="S301" i="13" s="1"/>
  <c r="AT300" i="13"/>
  <c r="AP300" i="13"/>
  <c r="AL300" i="13"/>
  <c r="AM300" i="13" s="1"/>
  <c r="I299" i="13" s="1"/>
  <c r="AH300" i="13"/>
  <c r="F299" i="13" s="1"/>
  <c r="AD300" i="13"/>
  <c r="AE300" i="13" s="1"/>
  <c r="Z300" i="13"/>
  <c r="AA300" i="13" s="1"/>
  <c r="V300" i="13"/>
  <c r="W300" i="13" s="1"/>
  <c r="R300" i="13"/>
  <c r="S300" i="13" s="1"/>
  <c r="AT299" i="13"/>
  <c r="AP299" i="13"/>
  <c r="J298" i="13" s="1"/>
  <c r="AQ299" i="13"/>
  <c r="K298" i="13" s="1"/>
  <c r="AL299" i="13"/>
  <c r="AM299" i="13"/>
  <c r="I298" i="13" s="1"/>
  <c r="AH299" i="13"/>
  <c r="AI299" i="13" s="1"/>
  <c r="G298" i="13" s="1"/>
  <c r="AD299" i="13"/>
  <c r="AE299" i="13" s="1"/>
  <c r="Z299" i="13"/>
  <c r="AA299" i="13"/>
  <c r="V299" i="13"/>
  <c r="W299" i="13" s="1"/>
  <c r="R299" i="13"/>
  <c r="S299" i="13" s="1"/>
  <c r="AT298" i="13"/>
  <c r="AU298" i="13" s="1"/>
  <c r="AP298" i="13"/>
  <c r="AQ298" i="13" s="1"/>
  <c r="K297" i="13" s="1"/>
  <c r="AL298" i="13"/>
  <c r="AM298" i="13"/>
  <c r="I297" i="13" s="1"/>
  <c r="AH298" i="13"/>
  <c r="AI298" i="13" s="1"/>
  <c r="G297" i="13" s="1"/>
  <c r="AD298" i="13"/>
  <c r="Z298" i="13"/>
  <c r="AA298" i="13"/>
  <c r="V298" i="13"/>
  <c r="R298" i="13"/>
  <c r="S298" i="13"/>
  <c r="AT297" i="13"/>
  <c r="AU297" i="13" s="1"/>
  <c r="M296" i="13" s="1"/>
  <c r="AP297" i="13"/>
  <c r="J296" i="13" s="1"/>
  <c r="AL297" i="13"/>
  <c r="AM297" i="13" s="1"/>
  <c r="I296" i="13" s="1"/>
  <c r="AH297" i="13"/>
  <c r="AD297" i="13"/>
  <c r="AE297" i="13" s="1"/>
  <c r="Z297" i="13"/>
  <c r="AA297" i="13" s="1"/>
  <c r="V297" i="13"/>
  <c r="W297" i="13" s="1"/>
  <c r="R297" i="13"/>
  <c r="S297" i="13"/>
  <c r="AT296" i="13"/>
  <c r="AU296" i="13" s="1"/>
  <c r="M295" i="13" s="1"/>
  <c r="AP296" i="13"/>
  <c r="AQ296" i="13" s="1"/>
  <c r="K295" i="13" s="1"/>
  <c r="AL296" i="13"/>
  <c r="AM296" i="13" s="1"/>
  <c r="I295" i="13" s="1"/>
  <c r="AH296" i="13"/>
  <c r="AI296" i="13"/>
  <c r="G295" i="13" s="1"/>
  <c r="AD296" i="13"/>
  <c r="AE296" i="13" s="1"/>
  <c r="Z296" i="13"/>
  <c r="AA296" i="13" s="1"/>
  <c r="V296" i="13"/>
  <c r="W296" i="13" s="1"/>
  <c r="R296" i="13"/>
  <c r="S296" i="13" s="1"/>
  <c r="AT295" i="13"/>
  <c r="AU295" i="13" s="1"/>
  <c r="M294" i="13" s="1"/>
  <c r="AP295" i="13"/>
  <c r="AQ295" i="13" s="1"/>
  <c r="K294" i="13" s="1"/>
  <c r="AL295" i="13"/>
  <c r="AM295" i="13" s="1"/>
  <c r="AH295" i="13"/>
  <c r="AI295" i="13" s="1"/>
  <c r="AD295" i="13"/>
  <c r="AE295" i="13" s="1"/>
  <c r="Z295" i="13"/>
  <c r="V295" i="13"/>
  <c r="W295" i="13" s="1"/>
  <c r="R295" i="13"/>
  <c r="S295" i="13" s="1"/>
  <c r="AT294" i="13"/>
  <c r="AU294" i="13" s="1"/>
  <c r="AP294" i="13"/>
  <c r="AL294" i="13"/>
  <c r="AH294" i="13"/>
  <c r="AD294" i="13"/>
  <c r="AE294" i="13" s="1"/>
  <c r="Z294" i="13"/>
  <c r="AA294" i="13" s="1"/>
  <c r="V294" i="13"/>
  <c r="W294" i="13" s="1"/>
  <c r="R294" i="13"/>
  <c r="S294" i="13" s="1"/>
  <c r="AT293" i="13"/>
  <c r="AU293" i="13" s="1"/>
  <c r="M292" i="13" s="1"/>
  <c r="AP293" i="13"/>
  <c r="AQ293" i="13" s="1"/>
  <c r="K292" i="13" s="1"/>
  <c r="AL293" i="13"/>
  <c r="AM293" i="13" s="1"/>
  <c r="I292" i="13" s="1"/>
  <c r="AH293" i="13"/>
  <c r="AI293" i="13" s="1"/>
  <c r="AD293" i="13"/>
  <c r="AE293" i="13" s="1"/>
  <c r="Z293" i="13"/>
  <c r="AA293" i="13" s="1"/>
  <c r="V293" i="13"/>
  <c r="W293" i="13" s="1"/>
  <c r="R293" i="13"/>
  <c r="S293" i="13" s="1"/>
  <c r="AT292" i="13"/>
  <c r="AU292" i="13" s="1"/>
  <c r="AP292" i="13"/>
  <c r="AQ292" i="13" s="1"/>
  <c r="K291" i="13" s="1"/>
  <c r="AL292" i="13"/>
  <c r="AH292" i="13"/>
  <c r="AI292" i="13" s="1"/>
  <c r="G291" i="13" s="1"/>
  <c r="AD292" i="13"/>
  <c r="Z292" i="13"/>
  <c r="AA292" i="13" s="1"/>
  <c r="V292" i="13"/>
  <c r="R292" i="13"/>
  <c r="S292" i="13" s="1"/>
  <c r="AT291" i="13"/>
  <c r="AU291" i="13"/>
  <c r="M290" i="13" s="1"/>
  <c r="AP291" i="13"/>
  <c r="J290" i="13" s="1"/>
  <c r="AL291" i="13"/>
  <c r="AH291" i="13"/>
  <c r="AD291" i="13"/>
  <c r="AE291" i="13" s="1"/>
  <c r="Z291" i="13"/>
  <c r="AA291" i="13" s="1"/>
  <c r="V291" i="13"/>
  <c r="W291" i="13" s="1"/>
  <c r="R291" i="13"/>
  <c r="S291" i="13" s="1"/>
  <c r="AT290" i="13"/>
  <c r="AP290" i="13"/>
  <c r="AL290" i="13"/>
  <c r="AM290" i="13" s="1"/>
  <c r="I289" i="13" s="1"/>
  <c r="AH290" i="13"/>
  <c r="AI290" i="13" s="1"/>
  <c r="G289" i="13" s="1"/>
  <c r="AD290" i="13"/>
  <c r="AE290" i="13" s="1"/>
  <c r="Z290" i="13"/>
  <c r="AA290" i="13" s="1"/>
  <c r="V290" i="13"/>
  <c r="W290" i="13" s="1"/>
  <c r="R290" i="13"/>
  <c r="S290" i="13" s="1"/>
  <c r="L290" i="13"/>
  <c r="AT285" i="13"/>
  <c r="AU285" i="13" s="1"/>
  <c r="AP285" i="13"/>
  <c r="AQ285" i="13" s="1"/>
  <c r="AL285" i="13"/>
  <c r="AM285" i="13"/>
  <c r="AH285" i="13"/>
  <c r="AI285" i="13"/>
  <c r="AD285" i="13"/>
  <c r="Z285" i="13"/>
  <c r="V285" i="13"/>
  <c r="R285" i="13"/>
  <c r="AT284" i="13"/>
  <c r="AU284" i="13" s="1"/>
  <c r="AP284" i="13"/>
  <c r="AQ284" i="13" s="1"/>
  <c r="AL284" i="13"/>
  <c r="AM284" i="13" s="1"/>
  <c r="AH284" i="13"/>
  <c r="AI284" i="13" s="1"/>
  <c r="AD284" i="13"/>
  <c r="Z284" i="13"/>
  <c r="V284" i="13"/>
  <c r="W284" i="13" s="1"/>
  <c r="I283" i="13" s="1"/>
  <c r="R284" i="13"/>
  <c r="AT283" i="13"/>
  <c r="AU283" i="13"/>
  <c r="AP283" i="13"/>
  <c r="AQ283" i="13" s="1"/>
  <c r="AL283" i="13"/>
  <c r="AM283" i="13" s="1"/>
  <c r="AH283" i="13"/>
  <c r="AI283" i="13"/>
  <c r="AD283" i="13"/>
  <c r="AE283" i="13" s="1"/>
  <c r="Z283" i="13"/>
  <c r="J282" i="13" s="1"/>
  <c r="V283" i="13"/>
  <c r="H282" i="13" s="1"/>
  <c r="R283" i="13"/>
  <c r="S283" i="13" s="1"/>
  <c r="G282" i="13" s="1"/>
  <c r="AT282" i="13"/>
  <c r="AU282" i="13" s="1"/>
  <c r="AP282" i="13"/>
  <c r="AQ282" i="13" s="1"/>
  <c r="AL282" i="13"/>
  <c r="AM282" i="13"/>
  <c r="AH282" i="13"/>
  <c r="AI282" i="13" s="1"/>
  <c r="AD282" i="13"/>
  <c r="L281" i="13" s="1"/>
  <c r="Z282" i="13"/>
  <c r="V282" i="13"/>
  <c r="R282" i="13"/>
  <c r="F282" i="13"/>
  <c r="AT281" i="13"/>
  <c r="AU281" i="13" s="1"/>
  <c r="AP281" i="13"/>
  <c r="AQ281" i="13" s="1"/>
  <c r="AL281" i="13"/>
  <c r="AM281" i="13" s="1"/>
  <c r="AH281" i="13"/>
  <c r="AI281" i="13" s="1"/>
  <c r="AD281" i="13"/>
  <c r="Z281" i="13"/>
  <c r="AA281" i="13" s="1"/>
  <c r="K280" i="13" s="1"/>
  <c r="V281" i="13"/>
  <c r="R281" i="13"/>
  <c r="S281" i="13" s="1"/>
  <c r="G280" i="13" s="1"/>
  <c r="AT280" i="13"/>
  <c r="AU280" i="13"/>
  <c r="AP280" i="13"/>
  <c r="AQ280" i="13" s="1"/>
  <c r="AL280" i="13"/>
  <c r="AM280" i="13" s="1"/>
  <c r="AH280" i="13"/>
  <c r="AI280" i="13" s="1"/>
  <c r="AD280" i="13"/>
  <c r="Z280" i="13"/>
  <c r="V280" i="13"/>
  <c r="W280" i="13"/>
  <c r="I279" i="13" s="1"/>
  <c r="R280" i="13"/>
  <c r="AT279" i="13"/>
  <c r="AU279" i="13"/>
  <c r="AP279" i="13"/>
  <c r="AQ279" i="13" s="1"/>
  <c r="AL279" i="13"/>
  <c r="AM279" i="13" s="1"/>
  <c r="AH279" i="13"/>
  <c r="AI279" i="13" s="1"/>
  <c r="AD279" i="13"/>
  <c r="L278" i="13" s="1"/>
  <c r="Z279" i="13"/>
  <c r="V279" i="13"/>
  <c r="W279" i="13"/>
  <c r="I278" i="13" s="1"/>
  <c r="R279" i="13"/>
  <c r="H279" i="13"/>
  <c r="AT278" i="13"/>
  <c r="AU278" i="13" s="1"/>
  <c r="AP278" i="13"/>
  <c r="AQ278" i="13" s="1"/>
  <c r="AL278" i="13"/>
  <c r="AM278" i="13" s="1"/>
  <c r="AH278" i="13"/>
  <c r="AI278" i="13" s="1"/>
  <c r="AD278" i="13"/>
  <c r="Z278" i="13"/>
  <c r="V278" i="13"/>
  <c r="R278" i="13"/>
  <c r="H278" i="13"/>
  <c r="AT277" i="13"/>
  <c r="AU277" i="13" s="1"/>
  <c r="AP277" i="13"/>
  <c r="AQ277" i="13" s="1"/>
  <c r="AL277" i="13"/>
  <c r="AM277" i="13" s="1"/>
  <c r="AH277" i="13"/>
  <c r="AI277" i="13" s="1"/>
  <c r="AD277" i="13"/>
  <c r="Z277" i="13"/>
  <c r="V277" i="13"/>
  <c r="R277" i="13"/>
  <c r="S277" i="13" s="1"/>
  <c r="G276" i="13" s="1"/>
  <c r="AT276" i="13"/>
  <c r="AU276" i="13"/>
  <c r="AP276" i="13"/>
  <c r="AQ276" i="13" s="1"/>
  <c r="AL276" i="13"/>
  <c r="AM276" i="13" s="1"/>
  <c r="AH276" i="13"/>
  <c r="AI276" i="13" s="1"/>
  <c r="AD276" i="13"/>
  <c r="Z276" i="13"/>
  <c r="V276" i="13"/>
  <c r="R276" i="13"/>
  <c r="S276" i="13"/>
  <c r="G275" i="13" s="1"/>
  <c r="AT275" i="13"/>
  <c r="AU275" i="13" s="1"/>
  <c r="AP275" i="13"/>
  <c r="AQ275" i="13" s="1"/>
  <c r="AL275" i="13"/>
  <c r="AM275" i="13" s="1"/>
  <c r="AH275" i="13"/>
  <c r="AI275" i="13" s="1"/>
  <c r="AD275" i="13"/>
  <c r="Z275" i="13"/>
  <c r="AA275" i="13"/>
  <c r="K274" i="13" s="1"/>
  <c r="V275" i="13"/>
  <c r="H274" i="13" s="1"/>
  <c r="W275" i="13"/>
  <c r="I274" i="13" s="1"/>
  <c r="R275" i="13"/>
  <c r="AT274" i="13"/>
  <c r="AU274" i="13"/>
  <c r="AP274" i="13"/>
  <c r="AQ274" i="13" s="1"/>
  <c r="AL274" i="13"/>
  <c r="AM274" i="13"/>
  <c r="AH274" i="13"/>
  <c r="AI274" i="13" s="1"/>
  <c r="AD274" i="13"/>
  <c r="AE274" i="13"/>
  <c r="M273" i="13" s="1"/>
  <c r="Z274" i="13"/>
  <c r="AA274" i="13" s="1"/>
  <c r="K273" i="13" s="1"/>
  <c r="V274" i="13"/>
  <c r="R274" i="13"/>
  <c r="AT273" i="13"/>
  <c r="AU273" i="13" s="1"/>
  <c r="AP273" i="13"/>
  <c r="AQ273" i="13" s="1"/>
  <c r="AL273" i="13"/>
  <c r="AM273" i="13" s="1"/>
  <c r="AH273" i="13"/>
  <c r="AI273" i="13" s="1"/>
  <c r="AD273" i="13"/>
  <c r="AE273" i="13" s="1"/>
  <c r="M272" i="13" s="1"/>
  <c r="Z273" i="13"/>
  <c r="J272" i="13" s="1"/>
  <c r="V273" i="13"/>
  <c r="W273" i="13" s="1"/>
  <c r="I272" i="13" s="1"/>
  <c r="R273" i="13"/>
  <c r="F272" i="13" s="1"/>
  <c r="AT272" i="13"/>
  <c r="AU272" i="13" s="1"/>
  <c r="AP272" i="13"/>
  <c r="AQ272" i="13" s="1"/>
  <c r="AL272" i="13"/>
  <c r="AM272" i="13" s="1"/>
  <c r="AH272" i="13"/>
  <c r="AI272" i="13" s="1"/>
  <c r="AD272" i="13"/>
  <c r="L271" i="13" s="1"/>
  <c r="Z272" i="13"/>
  <c r="AA272" i="13" s="1"/>
  <c r="K271" i="13" s="1"/>
  <c r="V272" i="13"/>
  <c r="W272" i="13" s="1"/>
  <c r="I271" i="13" s="1"/>
  <c r="R272" i="13"/>
  <c r="F271" i="13"/>
  <c r="AT271" i="13"/>
  <c r="AU271" i="13" s="1"/>
  <c r="AP271" i="13"/>
  <c r="AQ271" i="13"/>
  <c r="AL271" i="13"/>
  <c r="AM271" i="13" s="1"/>
  <c r="AH271" i="13"/>
  <c r="AI271" i="13" s="1"/>
  <c r="AD271" i="13"/>
  <c r="AE271" i="13" s="1"/>
  <c r="M270" i="13" s="1"/>
  <c r="Z271" i="13"/>
  <c r="AA271" i="13" s="1"/>
  <c r="K270" i="13"/>
  <c r="V271" i="13"/>
  <c r="R271" i="13"/>
  <c r="F270" i="13" s="1"/>
  <c r="AT266" i="13"/>
  <c r="AP266" i="13"/>
  <c r="AL266" i="13"/>
  <c r="AH266" i="13"/>
  <c r="AD266" i="13"/>
  <c r="AE266" i="13" s="1"/>
  <c r="Z266" i="13"/>
  <c r="AA266" i="13" s="1"/>
  <c r="V266" i="13"/>
  <c r="W266" i="13"/>
  <c r="R266" i="13"/>
  <c r="S266" i="13" s="1"/>
  <c r="AT265" i="13"/>
  <c r="AP265" i="13"/>
  <c r="AL265" i="13"/>
  <c r="AM265" i="13" s="1"/>
  <c r="I264" i="13" s="1"/>
  <c r="AH265" i="13"/>
  <c r="AI265" i="13" s="1"/>
  <c r="G264" i="13" s="1"/>
  <c r="AD265" i="13"/>
  <c r="AE265" i="13" s="1"/>
  <c r="Z265" i="13"/>
  <c r="AA265" i="13" s="1"/>
  <c r="V265" i="13"/>
  <c r="W265" i="13"/>
  <c r="R265" i="13"/>
  <c r="S265" i="13" s="1"/>
  <c r="AT264" i="13"/>
  <c r="AU264" i="13" s="1"/>
  <c r="M263" i="13" s="1"/>
  <c r="AP264" i="13"/>
  <c r="AL264" i="13"/>
  <c r="AH264" i="13"/>
  <c r="AD264" i="13"/>
  <c r="AE264" i="13" s="1"/>
  <c r="Z264" i="13"/>
  <c r="AA264" i="13" s="1"/>
  <c r="V264" i="13"/>
  <c r="W264" i="13" s="1"/>
  <c r="R264" i="13"/>
  <c r="S264" i="13" s="1"/>
  <c r="AT263" i="13"/>
  <c r="AP263" i="13"/>
  <c r="J262" i="13" s="1"/>
  <c r="AL263" i="13"/>
  <c r="H262" i="13"/>
  <c r="AH263" i="13"/>
  <c r="AD263" i="13"/>
  <c r="AE263" i="13" s="1"/>
  <c r="Z263" i="13"/>
  <c r="AA263" i="13" s="1"/>
  <c r="V263" i="13"/>
  <c r="W263" i="13" s="1"/>
  <c r="R263" i="13"/>
  <c r="S263" i="13" s="1"/>
  <c r="AT262" i="13"/>
  <c r="AP262" i="13"/>
  <c r="J261" i="13" s="1"/>
  <c r="AQ262" i="13"/>
  <c r="K261" i="13" s="1"/>
  <c r="AL262" i="13"/>
  <c r="AH262" i="13"/>
  <c r="F261" i="13" s="1"/>
  <c r="AD262" i="13"/>
  <c r="AE262" i="13" s="1"/>
  <c r="Z262" i="13"/>
  <c r="AA262" i="13"/>
  <c r="V262" i="13"/>
  <c r="W262" i="13"/>
  <c r="R262" i="13"/>
  <c r="S262" i="13"/>
  <c r="AT261" i="13"/>
  <c r="AU261" i="13" s="1"/>
  <c r="M260" i="13" s="1"/>
  <c r="AP261" i="13"/>
  <c r="AL261" i="13"/>
  <c r="H260" i="13" s="1"/>
  <c r="AH261" i="13"/>
  <c r="AI261" i="13" s="1"/>
  <c r="G260" i="13" s="1"/>
  <c r="AD261" i="13"/>
  <c r="AE261" i="13" s="1"/>
  <c r="Z261" i="13"/>
  <c r="AA261" i="13" s="1"/>
  <c r="V261" i="13"/>
  <c r="W261" i="13" s="1"/>
  <c r="R261" i="13"/>
  <c r="S261" i="13" s="1"/>
  <c r="AT260" i="13"/>
  <c r="AU260" i="13" s="1"/>
  <c r="M259" i="13" s="1"/>
  <c r="AP260" i="13"/>
  <c r="AL260" i="13"/>
  <c r="AM260" i="13"/>
  <c r="I259" i="13" s="1"/>
  <c r="AH260" i="13"/>
  <c r="AI260" i="13" s="1"/>
  <c r="G259" i="13"/>
  <c r="AD260" i="13"/>
  <c r="AE260" i="13" s="1"/>
  <c r="Z260" i="13"/>
  <c r="AA260" i="13" s="1"/>
  <c r="V260" i="13"/>
  <c r="W260" i="13"/>
  <c r="R260" i="13"/>
  <c r="S260" i="13" s="1"/>
  <c r="AT259" i="13"/>
  <c r="AP259" i="13"/>
  <c r="AQ259" i="13" s="1"/>
  <c r="K258" i="13" s="1"/>
  <c r="AL259" i="13"/>
  <c r="AH259" i="13"/>
  <c r="AD259" i="13"/>
  <c r="AE259" i="13" s="1"/>
  <c r="Z259" i="13"/>
  <c r="AA259" i="13" s="1"/>
  <c r="V259" i="13"/>
  <c r="W259" i="13" s="1"/>
  <c r="R259" i="13"/>
  <c r="S259" i="13" s="1"/>
  <c r="AT258" i="13"/>
  <c r="L257" i="13" s="1"/>
  <c r="AP258" i="13"/>
  <c r="AQ258" i="13" s="1"/>
  <c r="K257" i="13" s="1"/>
  <c r="AL258" i="13"/>
  <c r="AH258" i="13"/>
  <c r="F257" i="13" s="1"/>
  <c r="AD258" i="13"/>
  <c r="AE258" i="13" s="1"/>
  <c r="Z258" i="13"/>
  <c r="AA258" i="13" s="1"/>
  <c r="V258" i="13"/>
  <c r="W258" i="13" s="1"/>
  <c r="R258" i="13"/>
  <c r="S258" i="13" s="1"/>
  <c r="AT257" i="13"/>
  <c r="AP257" i="13"/>
  <c r="J256" i="13" s="1"/>
  <c r="AL257" i="13"/>
  <c r="H256" i="13" s="1"/>
  <c r="AH257" i="13"/>
  <c r="F256" i="13" s="1"/>
  <c r="AD257" i="13"/>
  <c r="AE257" i="13" s="1"/>
  <c r="Z257" i="13"/>
  <c r="AA257" i="13" s="1"/>
  <c r="V257" i="13"/>
  <c r="W257" i="13" s="1"/>
  <c r="R257" i="13"/>
  <c r="S257" i="13" s="1"/>
  <c r="AT256" i="13"/>
  <c r="L255" i="13" s="1"/>
  <c r="AP256" i="13"/>
  <c r="J255" i="13" s="1"/>
  <c r="AL256" i="13"/>
  <c r="AH256" i="13"/>
  <c r="AI256" i="13" s="1"/>
  <c r="G255" i="13" s="1"/>
  <c r="AD256" i="13"/>
  <c r="AE256" i="13" s="1"/>
  <c r="Z256" i="13"/>
  <c r="AA256" i="13" s="1"/>
  <c r="V256" i="13"/>
  <c r="W256" i="13" s="1"/>
  <c r="R256" i="13"/>
  <c r="S256" i="13" s="1"/>
  <c r="AT255" i="13"/>
  <c r="AP255" i="13"/>
  <c r="AQ255" i="13" s="1"/>
  <c r="K254" i="13" s="1"/>
  <c r="AL255" i="13"/>
  <c r="H254" i="13" s="1"/>
  <c r="AH255" i="13"/>
  <c r="AD255" i="13"/>
  <c r="AE255" i="13" s="1"/>
  <c r="Z255" i="13"/>
  <c r="AA255" i="13" s="1"/>
  <c r="V255" i="13"/>
  <c r="W255" i="13" s="1"/>
  <c r="R255" i="13"/>
  <c r="S255" i="13"/>
  <c r="AT254" i="13"/>
  <c r="L253" i="13" s="1"/>
  <c r="AP254" i="13"/>
  <c r="AQ254" i="13" s="1"/>
  <c r="K253" i="13" s="1"/>
  <c r="AL254" i="13"/>
  <c r="AH254" i="13"/>
  <c r="AD254" i="13"/>
  <c r="AE254" i="13" s="1"/>
  <c r="Z254" i="13"/>
  <c r="AA254" i="13" s="1"/>
  <c r="V254" i="13"/>
  <c r="W254" i="13" s="1"/>
  <c r="R254" i="13"/>
  <c r="S254" i="13" s="1"/>
  <c r="AT253" i="13"/>
  <c r="L252" i="13" s="1"/>
  <c r="AP253" i="13"/>
  <c r="AQ253" i="13"/>
  <c r="K252" i="13" s="1"/>
  <c r="AL253" i="13"/>
  <c r="AH253" i="13"/>
  <c r="AD253" i="13"/>
  <c r="AE253" i="13" s="1"/>
  <c r="Z253" i="13"/>
  <c r="AA253" i="13" s="1"/>
  <c r="V253" i="13"/>
  <c r="W253" i="13" s="1"/>
  <c r="R253" i="13"/>
  <c r="S253" i="13" s="1"/>
  <c r="AT252" i="13"/>
  <c r="AU252" i="13" s="1"/>
  <c r="M251" i="13" s="1"/>
  <c r="AP252" i="13"/>
  <c r="AQ252" i="13" s="1"/>
  <c r="K251" i="13" s="1"/>
  <c r="AL252" i="13"/>
  <c r="AH252" i="13"/>
  <c r="F251" i="13" s="1"/>
  <c r="AD252" i="13"/>
  <c r="AE252" i="13"/>
  <c r="Z252" i="13"/>
  <c r="AA252" i="13" s="1"/>
  <c r="V252" i="13"/>
  <c r="W252" i="13" s="1"/>
  <c r="R252" i="13"/>
  <c r="S252" i="13" s="1"/>
  <c r="J252" i="13"/>
  <c r="AT247" i="13"/>
  <c r="AU247" i="13" s="1"/>
  <c r="AP247" i="13"/>
  <c r="AQ247" i="13"/>
  <c r="AL247" i="13"/>
  <c r="AM247" i="13" s="1"/>
  <c r="AH247" i="13"/>
  <c r="AD247" i="13"/>
  <c r="Z247" i="13"/>
  <c r="AA247" i="13" s="1"/>
  <c r="V247" i="13"/>
  <c r="H246" i="13" s="1"/>
  <c r="W247" i="13"/>
  <c r="I246" i="13" s="1"/>
  <c r="R247" i="13"/>
  <c r="S247" i="13"/>
  <c r="AT246" i="13"/>
  <c r="AU246" i="13" s="1"/>
  <c r="AP246" i="13"/>
  <c r="AQ246" i="13" s="1"/>
  <c r="AL246" i="13"/>
  <c r="AM246" i="13" s="1"/>
  <c r="AH246" i="13"/>
  <c r="AI246" i="13" s="1"/>
  <c r="AD246" i="13"/>
  <c r="AE246" i="13"/>
  <c r="Z246" i="13"/>
  <c r="J245" i="13" s="1"/>
  <c r="AA246" i="13"/>
  <c r="K245" i="13" s="1"/>
  <c r="V246" i="13"/>
  <c r="W246" i="13" s="1"/>
  <c r="I245" i="13" s="1"/>
  <c r="R246" i="13"/>
  <c r="F245" i="13" s="1"/>
  <c r="S246" i="13"/>
  <c r="G245" i="13" s="1"/>
  <c r="AT245" i="13"/>
  <c r="AU245" i="13" s="1"/>
  <c r="AP245" i="13"/>
  <c r="AQ245" i="13" s="1"/>
  <c r="AL245" i="13"/>
  <c r="AM245" i="13" s="1"/>
  <c r="AH245" i="13"/>
  <c r="AI245" i="13" s="1"/>
  <c r="AD245" i="13"/>
  <c r="AE245" i="13" s="1"/>
  <c r="M244" i="13" s="1"/>
  <c r="Z245" i="13"/>
  <c r="V245" i="13"/>
  <c r="W245" i="13"/>
  <c r="I244" i="13" s="1"/>
  <c r="R245" i="13"/>
  <c r="S245" i="13" s="1"/>
  <c r="G244" i="13" s="1"/>
  <c r="AT244" i="13"/>
  <c r="AU244" i="13" s="1"/>
  <c r="AP244" i="13"/>
  <c r="AL244" i="13"/>
  <c r="AM244" i="13" s="1"/>
  <c r="AH244" i="13"/>
  <c r="AD244" i="13"/>
  <c r="AE244" i="13"/>
  <c r="Z244" i="13"/>
  <c r="AA244" i="13" s="1"/>
  <c r="V244" i="13"/>
  <c r="W244" i="13" s="1"/>
  <c r="I243" i="13" s="1"/>
  <c r="R244" i="13"/>
  <c r="AT243" i="13"/>
  <c r="AU243" i="13" s="1"/>
  <c r="AP243" i="13"/>
  <c r="AQ243" i="13" s="1"/>
  <c r="AL243" i="13"/>
  <c r="AM243" i="13" s="1"/>
  <c r="AH243" i="13"/>
  <c r="AI243" i="13"/>
  <c r="AD243" i="13"/>
  <c r="AE243" i="13"/>
  <c r="M242" i="13" s="1"/>
  <c r="Z243" i="13"/>
  <c r="AA243" i="13"/>
  <c r="K242" i="13" s="1"/>
  <c r="V243" i="13"/>
  <c r="R243" i="13"/>
  <c r="AT242" i="13"/>
  <c r="AU242" i="13" s="1"/>
  <c r="AP242" i="13"/>
  <c r="AQ242" i="13" s="1"/>
  <c r="AL242" i="13"/>
  <c r="AM242" i="13" s="1"/>
  <c r="AH242" i="13"/>
  <c r="AI242" i="13" s="1"/>
  <c r="AD242" i="13"/>
  <c r="AE242" i="13" s="1"/>
  <c r="Z242" i="13"/>
  <c r="V242" i="13"/>
  <c r="W242" i="13"/>
  <c r="I241" i="13" s="1"/>
  <c r="R242" i="13"/>
  <c r="S242" i="13" s="1"/>
  <c r="G241" i="13" s="1"/>
  <c r="AT241" i="13"/>
  <c r="AP241" i="13"/>
  <c r="AQ241" i="13" s="1"/>
  <c r="AL241" i="13"/>
  <c r="AM241" i="13" s="1"/>
  <c r="AH241" i="13"/>
  <c r="AI241" i="13" s="1"/>
  <c r="AD241" i="13"/>
  <c r="Z241" i="13"/>
  <c r="V241" i="13"/>
  <c r="W241" i="13" s="1"/>
  <c r="I240" i="13" s="1"/>
  <c r="R241" i="13"/>
  <c r="S241" i="13" s="1"/>
  <c r="G240" i="13" s="1"/>
  <c r="AT240" i="13"/>
  <c r="AP240" i="13"/>
  <c r="AQ240" i="13" s="1"/>
  <c r="AL240" i="13"/>
  <c r="AH240" i="13"/>
  <c r="AI240" i="13" s="1"/>
  <c r="AD240" i="13"/>
  <c r="AE240" i="13" s="1"/>
  <c r="M239" i="13" s="1"/>
  <c r="Z240" i="13"/>
  <c r="V240" i="13"/>
  <c r="W240" i="13" s="1"/>
  <c r="R240" i="13"/>
  <c r="AT239" i="13"/>
  <c r="AU239" i="13" s="1"/>
  <c r="AP239" i="13"/>
  <c r="AQ239" i="13" s="1"/>
  <c r="AL239" i="13"/>
  <c r="AM239" i="13" s="1"/>
  <c r="AH239" i="13"/>
  <c r="AI239" i="13"/>
  <c r="AD239" i="13"/>
  <c r="AE239" i="13"/>
  <c r="M238" i="13" s="1"/>
  <c r="Z239" i="13"/>
  <c r="AA239" i="13"/>
  <c r="V239" i="13"/>
  <c r="W239" i="13" s="1"/>
  <c r="I238" i="13"/>
  <c r="R239" i="13"/>
  <c r="S239" i="13" s="1"/>
  <c r="AT238" i="13"/>
  <c r="AU238" i="13" s="1"/>
  <c r="AP238" i="13"/>
  <c r="AL238" i="13"/>
  <c r="AM238" i="13" s="1"/>
  <c r="AH238" i="13"/>
  <c r="AI238" i="13" s="1"/>
  <c r="AD238" i="13"/>
  <c r="Z238" i="13"/>
  <c r="AA238" i="13" s="1"/>
  <c r="K237" i="13" s="1"/>
  <c r="V238" i="13"/>
  <c r="H237" i="13" s="1"/>
  <c r="R238" i="13"/>
  <c r="AT237" i="13"/>
  <c r="AU237" i="13" s="1"/>
  <c r="AP237" i="13"/>
  <c r="AL237" i="13"/>
  <c r="AM237" i="13" s="1"/>
  <c r="AH237" i="13"/>
  <c r="AI237" i="13" s="1"/>
  <c r="AD237" i="13"/>
  <c r="AE237" i="13" s="1"/>
  <c r="M236" i="13" s="1"/>
  <c r="Z237" i="13"/>
  <c r="AA237" i="13" s="1"/>
  <c r="K236" i="13" s="1"/>
  <c r="V237" i="13"/>
  <c r="R237" i="13"/>
  <c r="S237" i="13" s="1"/>
  <c r="AT236" i="13"/>
  <c r="AU236" i="13"/>
  <c r="AP236" i="13"/>
  <c r="AQ236" i="13" s="1"/>
  <c r="AL236" i="13"/>
  <c r="AM236" i="13" s="1"/>
  <c r="AH236" i="13"/>
  <c r="AI236" i="13" s="1"/>
  <c r="AD236" i="13"/>
  <c r="Z236" i="13"/>
  <c r="V236" i="13"/>
  <c r="R236" i="13"/>
  <c r="S236" i="13" s="1"/>
  <c r="G235" i="13" s="1"/>
  <c r="AT235" i="13"/>
  <c r="AP235" i="13"/>
  <c r="AQ235" i="13" s="1"/>
  <c r="AL235" i="13"/>
  <c r="AM235" i="13" s="1"/>
  <c r="AH235" i="13"/>
  <c r="AI235" i="13" s="1"/>
  <c r="AD235" i="13"/>
  <c r="AE235" i="13" s="1"/>
  <c r="Z235" i="13"/>
  <c r="AA235" i="13" s="1"/>
  <c r="V235" i="13"/>
  <c r="W235" i="13" s="1"/>
  <c r="R235" i="13"/>
  <c r="S235" i="13"/>
  <c r="G234" i="13" s="1"/>
  <c r="AT234" i="13"/>
  <c r="AU234" i="13" s="1"/>
  <c r="AP234" i="13"/>
  <c r="AQ234" i="13" s="1"/>
  <c r="AL234" i="13"/>
  <c r="AM234" i="13" s="1"/>
  <c r="AH234" i="13"/>
  <c r="AI234" i="13" s="1"/>
  <c r="AD234" i="13"/>
  <c r="AE234" i="13" s="1"/>
  <c r="M233" i="13" s="1"/>
  <c r="Z234" i="13"/>
  <c r="AA234" i="13" s="1"/>
  <c r="K233" i="13" s="1"/>
  <c r="V234" i="13"/>
  <c r="R234" i="13"/>
  <c r="S234" i="13" s="1"/>
  <c r="AT233" i="13"/>
  <c r="AU233" i="13"/>
  <c r="AP233" i="13"/>
  <c r="AQ233" i="13" s="1"/>
  <c r="AL233" i="13"/>
  <c r="AM233" i="13" s="1"/>
  <c r="AH233" i="13"/>
  <c r="AI233" i="13" s="1"/>
  <c r="AD233" i="13"/>
  <c r="AE233" i="13" s="1"/>
  <c r="M232" i="13" s="1"/>
  <c r="Z233" i="13"/>
  <c r="V233" i="13"/>
  <c r="H232" i="13"/>
  <c r="R233" i="13"/>
  <c r="AT228" i="13"/>
  <c r="AP228" i="13"/>
  <c r="AQ228" i="13" s="1"/>
  <c r="AL228" i="13"/>
  <c r="AM228" i="13" s="1"/>
  <c r="I227" i="13" s="1"/>
  <c r="AH228" i="13"/>
  <c r="AI228" i="13" s="1"/>
  <c r="G227" i="13" s="1"/>
  <c r="AD228" i="13"/>
  <c r="AE228" i="13" s="1"/>
  <c r="Z228" i="13"/>
  <c r="AA228" i="13" s="1"/>
  <c r="V228" i="13"/>
  <c r="W228" i="13" s="1"/>
  <c r="R228" i="13"/>
  <c r="S228" i="13" s="1"/>
  <c r="AT227" i="13"/>
  <c r="L226" i="13" s="1"/>
  <c r="AP227" i="13"/>
  <c r="AL227" i="13"/>
  <c r="AM227" i="13" s="1"/>
  <c r="I226" i="13" s="1"/>
  <c r="AH227" i="13"/>
  <c r="AI227" i="13" s="1"/>
  <c r="AD227" i="13"/>
  <c r="AE227" i="13" s="1"/>
  <c r="Z227" i="13"/>
  <c r="AA227" i="13" s="1"/>
  <c r="V227" i="13"/>
  <c r="W227" i="13" s="1"/>
  <c r="R227" i="13"/>
  <c r="S227" i="13" s="1"/>
  <c r="G226" i="13"/>
  <c r="AT226" i="13"/>
  <c r="AP226" i="13"/>
  <c r="AQ226" i="13" s="1"/>
  <c r="K225" i="13" s="1"/>
  <c r="AL226" i="13"/>
  <c r="H225" i="13" s="1"/>
  <c r="AH226" i="13"/>
  <c r="AD226" i="13"/>
  <c r="AE226" i="13" s="1"/>
  <c r="Z226" i="13"/>
  <c r="AA226" i="13" s="1"/>
  <c r="V226" i="13"/>
  <c r="W226" i="13" s="1"/>
  <c r="R226" i="13"/>
  <c r="S226" i="13" s="1"/>
  <c r="AT225" i="13"/>
  <c r="L224" i="13" s="1"/>
  <c r="AU225" i="13"/>
  <c r="M224" i="13" s="1"/>
  <c r="AP225" i="13"/>
  <c r="AL225" i="13"/>
  <c r="AM225" i="13" s="1"/>
  <c r="I224" i="13" s="1"/>
  <c r="AH225" i="13"/>
  <c r="AD225" i="13"/>
  <c r="AE225" i="13" s="1"/>
  <c r="Z225" i="13"/>
  <c r="V225" i="13"/>
  <c r="W225" i="13" s="1"/>
  <c r="R225" i="13"/>
  <c r="AT224" i="13"/>
  <c r="AP224" i="13"/>
  <c r="AQ224" i="13" s="1"/>
  <c r="AL224" i="13"/>
  <c r="AM224" i="13" s="1"/>
  <c r="I223" i="13" s="1"/>
  <c r="AH224" i="13"/>
  <c r="AD224" i="13"/>
  <c r="AE224" i="13" s="1"/>
  <c r="Z224" i="13"/>
  <c r="AA224" i="13" s="1"/>
  <c r="V224" i="13"/>
  <c r="W224" i="13" s="1"/>
  <c r="R224" i="13"/>
  <c r="S224" i="13"/>
  <c r="AT223" i="13"/>
  <c r="AU223" i="13" s="1"/>
  <c r="AP223" i="13"/>
  <c r="AQ223" i="13" s="1"/>
  <c r="AL223" i="13"/>
  <c r="AM223" i="13" s="1"/>
  <c r="I222" i="13" s="1"/>
  <c r="AH223" i="13"/>
  <c r="AI223" i="13"/>
  <c r="AD223" i="13"/>
  <c r="AE223" i="13" s="1"/>
  <c r="Z223" i="13"/>
  <c r="AA223" i="13" s="1"/>
  <c r="K222" i="13"/>
  <c r="V223" i="13"/>
  <c r="W223" i="13"/>
  <c r="R223" i="13"/>
  <c r="S223" i="13" s="1"/>
  <c r="AT222" i="13"/>
  <c r="AU222" i="13" s="1"/>
  <c r="AP222" i="13"/>
  <c r="AQ222" i="13" s="1"/>
  <c r="AL222" i="13"/>
  <c r="H221" i="13" s="1"/>
  <c r="AH222" i="13"/>
  <c r="AD222" i="13"/>
  <c r="Z222" i="13"/>
  <c r="AA222" i="13"/>
  <c r="V222" i="13"/>
  <c r="R222" i="13"/>
  <c r="S222" i="13" s="1"/>
  <c r="J222" i="13"/>
  <c r="AT221" i="13"/>
  <c r="AP221" i="13"/>
  <c r="AQ221" i="13" s="1"/>
  <c r="AL221" i="13"/>
  <c r="AM221" i="13" s="1"/>
  <c r="AH221" i="13"/>
  <c r="F220" i="13" s="1"/>
  <c r="AD221" i="13"/>
  <c r="AE221" i="13" s="1"/>
  <c r="Z221" i="13"/>
  <c r="AA221" i="13" s="1"/>
  <c r="V221" i="13"/>
  <c r="W221" i="13" s="1"/>
  <c r="R221" i="13"/>
  <c r="S221" i="13" s="1"/>
  <c r="AT220" i="13"/>
  <c r="AU220" i="13" s="1"/>
  <c r="M219" i="13" s="1"/>
  <c r="AP220" i="13"/>
  <c r="AL220" i="13"/>
  <c r="AM220" i="13" s="1"/>
  <c r="I219" i="13" s="1"/>
  <c r="AH220" i="13"/>
  <c r="AI220" i="13"/>
  <c r="G219" i="13" s="1"/>
  <c r="AD220" i="13"/>
  <c r="AE220" i="13" s="1"/>
  <c r="Z220" i="13"/>
  <c r="AA220" i="13" s="1"/>
  <c r="V220" i="13"/>
  <c r="W220" i="13" s="1"/>
  <c r="R220" i="13"/>
  <c r="S220" i="13" s="1"/>
  <c r="AT219" i="13"/>
  <c r="AU219" i="13" s="1"/>
  <c r="M218" i="13" s="1"/>
  <c r="AP219" i="13"/>
  <c r="AQ219" i="13" s="1"/>
  <c r="K218" i="13" s="1"/>
  <c r="AL219" i="13"/>
  <c r="AM219" i="13" s="1"/>
  <c r="AH219" i="13"/>
  <c r="AD219" i="13"/>
  <c r="AE219" i="13" s="1"/>
  <c r="Z219" i="13"/>
  <c r="AA219" i="13" s="1"/>
  <c r="V219" i="13"/>
  <c r="W219" i="13" s="1"/>
  <c r="R219" i="13"/>
  <c r="AT218" i="13"/>
  <c r="AP218" i="13"/>
  <c r="AL218" i="13"/>
  <c r="AH218" i="13"/>
  <c r="AD218" i="13"/>
  <c r="AE218" i="13" s="1"/>
  <c r="Z218" i="13"/>
  <c r="AA218" i="13" s="1"/>
  <c r="V218" i="13"/>
  <c r="W218" i="13" s="1"/>
  <c r="R218" i="13"/>
  <c r="S218" i="13" s="1"/>
  <c r="AT217" i="13"/>
  <c r="AP217" i="13"/>
  <c r="AQ217" i="13"/>
  <c r="K216" i="13" s="1"/>
  <c r="AL217" i="13"/>
  <c r="AH217" i="13"/>
  <c r="AI217" i="13" s="1"/>
  <c r="G216" i="13" s="1"/>
  <c r="AD217" i="13"/>
  <c r="AE217" i="13" s="1"/>
  <c r="Z217" i="13"/>
  <c r="AA217" i="13" s="1"/>
  <c r="V217" i="13"/>
  <c r="W217" i="13" s="1"/>
  <c r="R217" i="13"/>
  <c r="S217" i="13" s="1"/>
  <c r="AT216" i="13"/>
  <c r="AP216" i="13"/>
  <c r="AQ216" i="13" s="1"/>
  <c r="K215" i="13" s="1"/>
  <c r="AL216" i="13"/>
  <c r="AH216" i="13"/>
  <c r="AD216" i="13"/>
  <c r="AE216" i="13" s="1"/>
  <c r="Z216" i="13"/>
  <c r="AA216" i="13" s="1"/>
  <c r="V216" i="13"/>
  <c r="R216" i="13"/>
  <c r="S216" i="13" s="1"/>
  <c r="AT215" i="13"/>
  <c r="AU215" i="13" s="1"/>
  <c r="M214" i="13" s="1"/>
  <c r="AP215" i="13"/>
  <c r="AQ215" i="13" s="1"/>
  <c r="K214" i="13" s="1"/>
  <c r="AL215" i="13"/>
  <c r="AH215" i="13"/>
  <c r="AI215" i="13" s="1"/>
  <c r="AD215" i="13"/>
  <c r="AE215" i="13" s="1"/>
  <c r="Z215" i="13"/>
  <c r="AA215" i="13" s="1"/>
  <c r="V215" i="13"/>
  <c r="W215" i="13" s="1"/>
  <c r="R215" i="13"/>
  <c r="S215" i="13" s="1"/>
  <c r="AT214" i="13"/>
  <c r="L213" i="13" s="1"/>
  <c r="AP214" i="13"/>
  <c r="AQ214" i="13"/>
  <c r="K213" i="13" s="1"/>
  <c r="AL214" i="13"/>
  <c r="H213" i="13" s="1"/>
  <c r="AH214" i="13"/>
  <c r="AD214" i="13"/>
  <c r="AE214" i="13" s="1"/>
  <c r="Z214" i="13"/>
  <c r="AA214" i="13" s="1"/>
  <c r="V214" i="13"/>
  <c r="W214" i="13" s="1"/>
  <c r="R214" i="13"/>
  <c r="S214" i="13"/>
  <c r="AT209" i="13"/>
  <c r="AU209" i="13" s="1"/>
  <c r="AP209" i="13"/>
  <c r="AQ209" i="13" s="1"/>
  <c r="AL209" i="13"/>
  <c r="AM209" i="13" s="1"/>
  <c r="AH209" i="13"/>
  <c r="AI209" i="13" s="1"/>
  <c r="AD209" i="13"/>
  <c r="Z209" i="13"/>
  <c r="V209" i="13"/>
  <c r="R209" i="13"/>
  <c r="S209" i="13" s="1"/>
  <c r="AT208" i="13"/>
  <c r="AU208" i="13" s="1"/>
  <c r="AP208" i="13"/>
  <c r="AQ208" i="13" s="1"/>
  <c r="AL208" i="13"/>
  <c r="AM208" i="13" s="1"/>
  <c r="AH208" i="13"/>
  <c r="AI208" i="13" s="1"/>
  <c r="AD208" i="13"/>
  <c r="AE208" i="13" s="1"/>
  <c r="M207" i="13" s="1"/>
  <c r="Z208" i="13"/>
  <c r="V208" i="13"/>
  <c r="W208" i="13"/>
  <c r="R208" i="13"/>
  <c r="S208" i="13" s="1"/>
  <c r="G207" i="13" s="1"/>
  <c r="AT207" i="13"/>
  <c r="AU207" i="13" s="1"/>
  <c r="AP207" i="13"/>
  <c r="AQ207" i="13" s="1"/>
  <c r="AL207" i="13"/>
  <c r="AM207" i="13" s="1"/>
  <c r="AH207" i="13"/>
  <c r="AI207" i="13" s="1"/>
  <c r="AD207" i="13"/>
  <c r="AE207" i="13" s="1"/>
  <c r="Z207" i="13"/>
  <c r="AA207" i="13" s="1"/>
  <c r="K206" i="13" s="1"/>
  <c r="V207" i="13"/>
  <c r="W207" i="13"/>
  <c r="I206" i="13" s="1"/>
  <c r="R207" i="13"/>
  <c r="S207" i="13" s="1"/>
  <c r="AT206" i="13"/>
  <c r="AU206" i="13" s="1"/>
  <c r="AP206" i="13"/>
  <c r="AL206" i="13"/>
  <c r="AM206" i="13" s="1"/>
  <c r="AH206" i="13"/>
  <c r="AI206" i="13" s="1"/>
  <c r="AD206" i="13"/>
  <c r="AE206" i="13" s="1"/>
  <c r="M205" i="13" s="1"/>
  <c r="Z206" i="13"/>
  <c r="V206" i="13"/>
  <c r="W206" i="13" s="1"/>
  <c r="R206" i="13"/>
  <c r="S206" i="13"/>
  <c r="G205" i="13" s="1"/>
  <c r="AT205" i="13"/>
  <c r="AU205" i="13" s="1"/>
  <c r="AP205" i="13"/>
  <c r="AQ205" i="13" s="1"/>
  <c r="AL205" i="13"/>
  <c r="AM205" i="13"/>
  <c r="AH205" i="13"/>
  <c r="AI205" i="13" s="1"/>
  <c r="AD205" i="13"/>
  <c r="L204" i="13"/>
  <c r="Z205" i="13"/>
  <c r="V205" i="13"/>
  <c r="W205" i="13" s="1"/>
  <c r="I204" i="13" s="1"/>
  <c r="R205" i="13"/>
  <c r="S205" i="13" s="1"/>
  <c r="AT204" i="13"/>
  <c r="AU204" i="13" s="1"/>
  <c r="AP204" i="13"/>
  <c r="AQ204" i="13" s="1"/>
  <c r="AL204" i="13"/>
  <c r="AM204" i="13" s="1"/>
  <c r="AH204" i="13"/>
  <c r="AI204" i="13" s="1"/>
  <c r="AD204" i="13"/>
  <c r="AE204" i="13" s="1"/>
  <c r="Z204" i="13"/>
  <c r="AA204" i="13" s="1"/>
  <c r="V204" i="13"/>
  <c r="W204" i="13" s="1"/>
  <c r="R204" i="13"/>
  <c r="S204" i="13" s="1"/>
  <c r="AT203" i="13"/>
  <c r="AP203" i="13"/>
  <c r="AQ203" i="13" s="1"/>
  <c r="AL203" i="13"/>
  <c r="AM203" i="13" s="1"/>
  <c r="AH203" i="13"/>
  <c r="AI203" i="13" s="1"/>
  <c r="AD203" i="13"/>
  <c r="AE203" i="13" s="1"/>
  <c r="M202" i="13" s="1"/>
  <c r="Z203" i="13"/>
  <c r="AA203" i="13" s="1"/>
  <c r="V203" i="13"/>
  <c r="H202" i="13" s="1"/>
  <c r="R203" i="13"/>
  <c r="S203" i="13" s="1"/>
  <c r="G202" i="13" s="1"/>
  <c r="AT202" i="13"/>
  <c r="AU202" i="13" s="1"/>
  <c r="AP202" i="13"/>
  <c r="AQ202" i="13" s="1"/>
  <c r="AL202" i="13"/>
  <c r="AM202" i="13" s="1"/>
  <c r="AH202" i="13"/>
  <c r="AI202" i="13" s="1"/>
  <c r="AD202" i="13"/>
  <c r="Z202" i="13"/>
  <c r="J201" i="13" s="1"/>
  <c r="V202" i="13"/>
  <c r="W202" i="13" s="1"/>
  <c r="I201" i="13" s="1"/>
  <c r="R202" i="13"/>
  <c r="S202" i="13" s="1"/>
  <c r="AT201" i="13"/>
  <c r="AU201" i="13" s="1"/>
  <c r="AP201" i="13"/>
  <c r="AQ201" i="13" s="1"/>
  <c r="AL201" i="13"/>
  <c r="AM201" i="13" s="1"/>
  <c r="AH201" i="13"/>
  <c r="AI201" i="13" s="1"/>
  <c r="AD201" i="13"/>
  <c r="Z201" i="13"/>
  <c r="AA201" i="13" s="1"/>
  <c r="V201" i="13"/>
  <c r="W201" i="13" s="1"/>
  <c r="I200" i="13" s="1"/>
  <c r="R201" i="13"/>
  <c r="S201" i="13" s="1"/>
  <c r="G200" i="13" s="1"/>
  <c r="AT200" i="13"/>
  <c r="AU200" i="13" s="1"/>
  <c r="AP200" i="13"/>
  <c r="AL200" i="13"/>
  <c r="AM200" i="13"/>
  <c r="AH200" i="13"/>
  <c r="AI200" i="13" s="1"/>
  <c r="AD200" i="13"/>
  <c r="AE200" i="13" s="1"/>
  <c r="M199" i="13" s="1"/>
  <c r="Z200" i="13"/>
  <c r="AA200" i="13" s="1"/>
  <c r="V200" i="13"/>
  <c r="W200" i="13"/>
  <c r="I199" i="13" s="1"/>
  <c r="R200" i="13"/>
  <c r="S200" i="13" s="1"/>
  <c r="AT199" i="13"/>
  <c r="AU199" i="13" s="1"/>
  <c r="AP199" i="13"/>
  <c r="AQ199" i="13" s="1"/>
  <c r="AL199" i="13"/>
  <c r="AM199" i="13" s="1"/>
  <c r="AH199" i="13"/>
  <c r="AI199" i="13" s="1"/>
  <c r="AD199" i="13"/>
  <c r="L198" i="13" s="1"/>
  <c r="AE199" i="13"/>
  <c r="M198" i="13" s="1"/>
  <c r="Z199" i="13"/>
  <c r="J198" i="13"/>
  <c r="V199" i="13"/>
  <c r="W199" i="13" s="1"/>
  <c r="R199" i="13"/>
  <c r="S199" i="13" s="1"/>
  <c r="AT198" i="13"/>
  <c r="AU198" i="13" s="1"/>
  <c r="AP198" i="13"/>
  <c r="AQ198" i="13" s="1"/>
  <c r="AL198" i="13"/>
  <c r="AM198" i="13"/>
  <c r="AH198" i="13"/>
  <c r="AI198" i="13" s="1"/>
  <c r="AD198" i="13"/>
  <c r="AE198" i="13"/>
  <c r="Z198" i="13"/>
  <c r="AA198" i="13" s="1"/>
  <c r="K197" i="13" s="1"/>
  <c r="V198" i="13"/>
  <c r="R198" i="13"/>
  <c r="S198" i="13" s="1"/>
  <c r="G197" i="13" s="1"/>
  <c r="AT197" i="13"/>
  <c r="AP197" i="13"/>
  <c r="AQ197" i="13"/>
  <c r="AL197" i="13"/>
  <c r="AH197" i="13"/>
  <c r="AI197" i="13" s="1"/>
  <c r="AD197" i="13"/>
  <c r="AE197" i="13"/>
  <c r="Z197" i="13"/>
  <c r="AA197" i="13" s="1"/>
  <c r="K196" i="13" s="1"/>
  <c r="V197" i="13"/>
  <c r="W197" i="13" s="1"/>
  <c r="I196" i="13" s="1"/>
  <c r="R197" i="13"/>
  <c r="S197" i="13" s="1"/>
  <c r="G196" i="13" s="1"/>
  <c r="AT196" i="13"/>
  <c r="AU196" i="13"/>
  <c r="AP196" i="13"/>
  <c r="AQ196" i="13" s="1"/>
  <c r="AL196" i="13"/>
  <c r="AM196" i="13" s="1"/>
  <c r="AH196" i="13"/>
  <c r="AI196" i="13" s="1"/>
  <c r="AD196" i="13"/>
  <c r="Z196" i="13"/>
  <c r="J195" i="13" s="1"/>
  <c r="V196" i="13"/>
  <c r="W196" i="13" s="1"/>
  <c r="I195" i="13" s="1"/>
  <c r="R196" i="13"/>
  <c r="AT195" i="13"/>
  <c r="AU195" i="13" s="1"/>
  <c r="AP195" i="13"/>
  <c r="AQ195" i="13" s="1"/>
  <c r="AL195" i="13"/>
  <c r="AM195" i="13" s="1"/>
  <c r="AH195" i="13"/>
  <c r="AI195" i="13" s="1"/>
  <c r="AD195" i="13"/>
  <c r="AE195" i="13" s="1"/>
  <c r="M194" i="13" s="1"/>
  <c r="Z195" i="13"/>
  <c r="V195" i="13"/>
  <c r="R195" i="13"/>
  <c r="F194" i="13" s="1"/>
  <c r="AT190" i="13"/>
  <c r="AP190" i="13"/>
  <c r="J189" i="13" s="1"/>
  <c r="AQ190" i="13"/>
  <c r="K189" i="13" s="1"/>
  <c r="AL190" i="13"/>
  <c r="H189" i="13" s="1"/>
  <c r="AH190" i="13"/>
  <c r="F189" i="13" s="1"/>
  <c r="AD190" i="13"/>
  <c r="AE190" i="13" s="1"/>
  <c r="Z190" i="13"/>
  <c r="AA190" i="13" s="1"/>
  <c r="V190" i="13"/>
  <c r="W190" i="13" s="1"/>
  <c r="R190" i="13"/>
  <c r="S190" i="13" s="1"/>
  <c r="AT189" i="13"/>
  <c r="AU189" i="13" s="1"/>
  <c r="M188" i="13" s="1"/>
  <c r="AP189" i="13"/>
  <c r="AL189" i="13"/>
  <c r="AH189" i="13"/>
  <c r="AD189" i="13"/>
  <c r="AE189" i="13" s="1"/>
  <c r="Z189" i="13"/>
  <c r="AA189" i="13" s="1"/>
  <c r="V189" i="13"/>
  <c r="W189" i="13" s="1"/>
  <c r="R189" i="13"/>
  <c r="S189" i="13" s="1"/>
  <c r="AT188" i="13"/>
  <c r="AP188" i="13"/>
  <c r="AL188" i="13"/>
  <c r="H187" i="13" s="1"/>
  <c r="AM188" i="13"/>
  <c r="I187" i="13" s="1"/>
  <c r="AH188" i="13"/>
  <c r="AD188" i="13"/>
  <c r="AE188" i="13" s="1"/>
  <c r="Z188" i="13"/>
  <c r="AA188" i="13" s="1"/>
  <c r="V188" i="13"/>
  <c r="W188" i="13" s="1"/>
  <c r="R188" i="13"/>
  <c r="S188" i="13" s="1"/>
  <c r="AT187" i="13"/>
  <c r="AU187" i="13" s="1"/>
  <c r="M186" i="13" s="1"/>
  <c r="AP187" i="13"/>
  <c r="AL187" i="13"/>
  <c r="AH187" i="13"/>
  <c r="AI187" i="13" s="1"/>
  <c r="G186" i="13" s="1"/>
  <c r="AD187" i="13"/>
  <c r="AE187" i="13" s="1"/>
  <c r="Z187" i="13"/>
  <c r="AA187" i="13" s="1"/>
  <c r="V187" i="13"/>
  <c r="W187" i="13" s="1"/>
  <c r="R187" i="13"/>
  <c r="S187" i="13" s="1"/>
  <c r="AT186" i="13"/>
  <c r="AU186" i="13" s="1"/>
  <c r="M185" i="13" s="1"/>
  <c r="AP186" i="13"/>
  <c r="AQ186" i="13" s="1"/>
  <c r="K185" i="13" s="1"/>
  <c r="AL186" i="13"/>
  <c r="AM186" i="13" s="1"/>
  <c r="I185" i="13" s="1"/>
  <c r="AH186" i="13"/>
  <c r="F185" i="13" s="1"/>
  <c r="AD186" i="13"/>
  <c r="AE186" i="13" s="1"/>
  <c r="Z186" i="13"/>
  <c r="AA186" i="13" s="1"/>
  <c r="V186" i="13"/>
  <c r="W186" i="13" s="1"/>
  <c r="R186" i="13"/>
  <c r="S186" i="13" s="1"/>
  <c r="AT185" i="13"/>
  <c r="AP185" i="13"/>
  <c r="AL185" i="13"/>
  <c r="AH185" i="13"/>
  <c r="AI185" i="13" s="1"/>
  <c r="G184" i="13" s="1"/>
  <c r="AD185" i="13"/>
  <c r="AE185" i="13" s="1"/>
  <c r="Z185" i="13"/>
  <c r="AA185" i="13" s="1"/>
  <c r="V185" i="13"/>
  <c r="W185" i="13" s="1"/>
  <c r="R185" i="13"/>
  <c r="S185" i="13" s="1"/>
  <c r="AT184" i="13"/>
  <c r="AU184" i="13" s="1"/>
  <c r="AP184" i="13"/>
  <c r="AL184" i="13"/>
  <c r="AM184" i="13" s="1"/>
  <c r="AH184" i="13"/>
  <c r="AD184" i="13"/>
  <c r="AE184" i="13" s="1"/>
  <c r="Z184" i="13"/>
  <c r="AA184" i="13" s="1"/>
  <c r="V184" i="13"/>
  <c r="R184" i="13"/>
  <c r="S184" i="13" s="1"/>
  <c r="AT183" i="13"/>
  <c r="AP183" i="13"/>
  <c r="AQ183" i="13" s="1"/>
  <c r="K182" i="13" s="1"/>
  <c r="AL183" i="13"/>
  <c r="AH183" i="13"/>
  <c r="AD183" i="13"/>
  <c r="AE183" i="13" s="1"/>
  <c r="Z183" i="13"/>
  <c r="AA183" i="13" s="1"/>
  <c r="V183" i="13"/>
  <c r="W183" i="13" s="1"/>
  <c r="R183" i="13"/>
  <c r="S183" i="13" s="1"/>
  <c r="AT182" i="13"/>
  <c r="AP182" i="13"/>
  <c r="AL182" i="13"/>
  <c r="AH182" i="13"/>
  <c r="AD182" i="13"/>
  <c r="AE182" i="13" s="1"/>
  <c r="Z182" i="13"/>
  <c r="AA182" i="13" s="1"/>
  <c r="V182" i="13"/>
  <c r="W182" i="13" s="1"/>
  <c r="R182" i="13"/>
  <c r="S182" i="13" s="1"/>
  <c r="AT181" i="13"/>
  <c r="AU181" i="13" s="1"/>
  <c r="AP181" i="13"/>
  <c r="AL181" i="13"/>
  <c r="AM181" i="13" s="1"/>
  <c r="AH181" i="13"/>
  <c r="AI181" i="13" s="1"/>
  <c r="G180" i="13" s="1"/>
  <c r="AD181" i="13"/>
  <c r="AE181" i="13" s="1"/>
  <c r="Z181" i="13"/>
  <c r="AA181" i="13" s="1"/>
  <c r="V181" i="13"/>
  <c r="W181" i="13" s="1"/>
  <c r="I180" i="13"/>
  <c r="R181" i="13"/>
  <c r="AT180" i="13"/>
  <c r="AU180" i="13" s="1"/>
  <c r="M179" i="13" s="1"/>
  <c r="AP180" i="13"/>
  <c r="AL180" i="13"/>
  <c r="H179" i="13" s="1"/>
  <c r="AH180" i="13"/>
  <c r="AD180" i="13"/>
  <c r="AE180" i="13" s="1"/>
  <c r="Z180" i="13"/>
  <c r="AA180" i="13" s="1"/>
  <c r="V180" i="13"/>
  <c r="W180" i="13" s="1"/>
  <c r="R180" i="13"/>
  <c r="S180" i="13" s="1"/>
  <c r="AT179" i="13"/>
  <c r="AU179" i="13"/>
  <c r="M178" i="13" s="1"/>
  <c r="AP179" i="13"/>
  <c r="AL179" i="13"/>
  <c r="AM179" i="13" s="1"/>
  <c r="I178" i="13" s="1"/>
  <c r="AH179" i="13"/>
  <c r="AI179" i="13" s="1"/>
  <c r="G178" i="13" s="1"/>
  <c r="AD179" i="13"/>
  <c r="AE179" i="13" s="1"/>
  <c r="Z179" i="13"/>
  <c r="AA179" i="13" s="1"/>
  <c r="V179" i="13"/>
  <c r="W179" i="13"/>
  <c r="R179" i="13"/>
  <c r="S179" i="13"/>
  <c r="AT178" i="13"/>
  <c r="AP178" i="13"/>
  <c r="J177" i="13" s="1"/>
  <c r="AQ178" i="13"/>
  <c r="K177" i="13" s="1"/>
  <c r="AL178" i="13"/>
  <c r="AM178" i="13" s="1"/>
  <c r="AH178" i="13"/>
  <c r="AI178" i="13" s="1"/>
  <c r="G177" i="13" s="1"/>
  <c r="AD178" i="13"/>
  <c r="Z178" i="13"/>
  <c r="AA178" i="13" s="1"/>
  <c r="V178" i="13"/>
  <c r="R178" i="13"/>
  <c r="S178" i="13"/>
  <c r="F178" i="13"/>
  <c r="AT177" i="13"/>
  <c r="AP177" i="13"/>
  <c r="J176" i="13" s="1"/>
  <c r="AL177" i="13"/>
  <c r="AH177" i="13"/>
  <c r="F176" i="13" s="1"/>
  <c r="AD177" i="13"/>
  <c r="AE177" i="13"/>
  <c r="Z177" i="13"/>
  <c r="AA177" i="13" s="1"/>
  <c r="V177" i="13"/>
  <c r="W177" i="13" s="1"/>
  <c r="R177" i="13"/>
  <c r="S177" i="13" s="1"/>
  <c r="AT176" i="13"/>
  <c r="AU176" i="13" s="1"/>
  <c r="M175" i="13" s="1"/>
  <c r="AP176" i="13"/>
  <c r="AL176" i="13"/>
  <c r="AM176" i="13" s="1"/>
  <c r="I175" i="13" s="1"/>
  <c r="AH176" i="13"/>
  <c r="AI176" i="13" s="1"/>
  <c r="G175" i="13" s="1"/>
  <c r="AD176" i="13"/>
  <c r="AE176" i="13" s="1"/>
  <c r="Z176" i="13"/>
  <c r="AA176" i="13" s="1"/>
  <c r="V176" i="13"/>
  <c r="W176" i="13" s="1"/>
  <c r="R176" i="13"/>
  <c r="S176" i="13" s="1"/>
  <c r="AT171" i="13"/>
  <c r="AU171" i="13"/>
  <c r="AP171" i="13"/>
  <c r="AQ171" i="13" s="1"/>
  <c r="AL171" i="13"/>
  <c r="AM171" i="13" s="1"/>
  <c r="AH171" i="13"/>
  <c r="AI171" i="13"/>
  <c r="AD171" i="13"/>
  <c r="Z171" i="13"/>
  <c r="AA171" i="13"/>
  <c r="K170" i="13" s="1"/>
  <c r="V171" i="13"/>
  <c r="R171" i="13"/>
  <c r="AT170" i="13"/>
  <c r="AU170" i="13" s="1"/>
  <c r="AP170" i="13"/>
  <c r="AQ170" i="13" s="1"/>
  <c r="AL170" i="13"/>
  <c r="AM170" i="13" s="1"/>
  <c r="AH170" i="13"/>
  <c r="AI170" i="13" s="1"/>
  <c r="AD170" i="13"/>
  <c r="AE170" i="13" s="1"/>
  <c r="M169" i="13" s="1"/>
  <c r="Z170" i="13"/>
  <c r="V170" i="13"/>
  <c r="R170" i="13"/>
  <c r="F169" i="13" s="1"/>
  <c r="J170" i="13"/>
  <c r="AT169" i="13"/>
  <c r="AU169" i="13" s="1"/>
  <c r="AP169" i="13"/>
  <c r="AQ169" i="13" s="1"/>
  <c r="AL169" i="13"/>
  <c r="AM169" i="13" s="1"/>
  <c r="AH169" i="13"/>
  <c r="AI169" i="13" s="1"/>
  <c r="AD169" i="13"/>
  <c r="Z169" i="13"/>
  <c r="AA169" i="13" s="1"/>
  <c r="K168" i="13" s="1"/>
  <c r="V169" i="13"/>
  <c r="W169" i="13" s="1"/>
  <c r="I168" i="13" s="1"/>
  <c r="R169" i="13"/>
  <c r="F168" i="13" s="1"/>
  <c r="S169" i="13"/>
  <c r="G168" i="13" s="1"/>
  <c r="AT168" i="13"/>
  <c r="AU168" i="13" s="1"/>
  <c r="AP168" i="13"/>
  <c r="AQ168" i="13" s="1"/>
  <c r="AL168" i="13"/>
  <c r="AM168" i="13" s="1"/>
  <c r="AH168" i="13"/>
  <c r="AI168" i="13" s="1"/>
  <c r="AD168" i="13"/>
  <c r="AE168" i="13" s="1"/>
  <c r="M167" i="13" s="1"/>
  <c r="Z168" i="13"/>
  <c r="J167" i="13" s="1"/>
  <c r="V168" i="13"/>
  <c r="R168" i="13"/>
  <c r="S168" i="13" s="1"/>
  <c r="G167" i="13" s="1"/>
  <c r="AT167" i="13"/>
  <c r="AU167" i="13"/>
  <c r="AP167" i="13"/>
  <c r="AQ167" i="13"/>
  <c r="AL167" i="13"/>
  <c r="AM167" i="13" s="1"/>
  <c r="AH167" i="13"/>
  <c r="AI167" i="13" s="1"/>
  <c r="AD167" i="13"/>
  <c r="AE167" i="13"/>
  <c r="M166" i="13"/>
  <c r="Z167" i="13"/>
  <c r="AA167" i="13" s="1"/>
  <c r="K166" i="13" s="1"/>
  <c r="V167" i="13"/>
  <c r="R167" i="13"/>
  <c r="S167" i="13" s="1"/>
  <c r="G166" i="13" s="1"/>
  <c r="AT166" i="13"/>
  <c r="AU166" i="13" s="1"/>
  <c r="AP166" i="13"/>
  <c r="AQ166" i="13" s="1"/>
  <c r="AL166" i="13"/>
  <c r="AM166" i="13"/>
  <c r="AH166" i="13"/>
  <c r="AI166" i="13" s="1"/>
  <c r="AD166" i="13"/>
  <c r="AE166" i="13" s="1"/>
  <c r="M165" i="13" s="1"/>
  <c r="Z166" i="13"/>
  <c r="AA166" i="13" s="1"/>
  <c r="K165" i="13" s="1"/>
  <c r="V166" i="13"/>
  <c r="W166" i="13" s="1"/>
  <c r="I165" i="13" s="1"/>
  <c r="R166" i="13"/>
  <c r="S166" i="13" s="1"/>
  <c r="G165" i="13"/>
  <c r="L166" i="13"/>
  <c r="AT165" i="13"/>
  <c r="AU165" i="13" s="1"/>
  <c r="AP165" i="13"/>
  <c r="AQ165" i="13"/>
  <c r="AL165" i="13"/>
  <c r="AM165" i="13" s="1"/>
  <c r="AH165" i="13"/>
  <c r="AI165" i="13" s="1"/>
  <c r="AD165" i="13"/>
  <c r="AE165" i="13" s="1"/>
  <c r="M164" i="13" s="1"/>
  <c r="Z165" i="13"/>
  <c r="J164" i="13" s="1"/>
  <c r="V165" i="13"/>
  <c r="H164" i="13" s="1"/>
  <c r="R165" i="13"/>
  <c r="S165" i="13" s="1"/>
  <c r="G164" i="13" s="1"/>
  <c r="AT164" i="13"/>
  <c r="AU164" i="13"/>
  <c r="AP164" i="13"/>
  <c r="AQ164" i="13" s="1"/>
  <c r="AL164" i="13"/>
  <c r="AM164" i="13" s="1"/>
  <c r="AH164" i="13"/>
  <c r="AI164" i="13" s="1"/>
  <c r="AD164" i="13"/>
  <c r="AE164" i="13" s="1"/>
  <c r="M163" i="13" s="1"/>
  <c r="Z164" i="13"/>
  <c r="AA164" i="13"/>
  <c r="K163" i="13" s="1"/>
  <c r="V164" i="13"/>
  <c r="R164" i="13"/>
  <c r="S164" i="13" s="1"/>
  <c r="G163" i="13" s="1"/>
  <c r="AT163" i="13"/>
  <c r="AU163" i="13" s="1"/>
  <c r="AP163" i="13"/>
  <c r="AQ163" i="13" s="1"/>
  <c r="AL163" i="13"/>
  <c r="AM163" i="13" s="1"/>
  <c r="AH163" i="13"/>
  <c r="AI163" i="13" s="1"/>
  <c r="AD163" i="13"/>
  <c r="AE163" i="13" s="1"/>
  <c r="M162" i="13" s="1"/>
  <c r="Z163" i="13"/>
  <c r="AA163" i="13"/>
  <c r="K162" i="13" s="1"/>
  <c r="V163" i="13"/>
  <c r="W163" i="13" s="1"/>
  <c r="I162" i="13" s="1"/>
  <c r="R163" i="13"/>
  <c r="S163" i="13"/>
  <c r="G162" i="13" s="1"/>
  <c r="AT162" i="13"/>
  <c r="AU162" i="13"/>
  <c r="AP162" i="13"/>
  <c r="AQ162" i="13" s="1"/>
  <c r="AL162" i="13"/>
  <c r="AM162" i="13" s="1"/>
  <c r="AH162" i="13"/>
  <c r="AI162" i="13" s="1"/>
  <c r="AD162" i="13"/>
  <c r="AE162" i="13" s="1"/>
  <c r="M161" i="13" s="1"/>
  <c r="Z162" i="13"/>
  <c r="AA162" i="13" s="1"/>
  <c r="K161" i="13" s="1"/>
  <c r="V162" i="13"/>
  <c r="W162" i="13" s="1"/>
  <c r="I161" i="13"/>
  <c r="R162" i="13"/>
  <c r="J162" i="13"/>
  <c r="AT161" i="13"/>
  <c r="AU161" i="13"/>
  <c r="AP161" i="13"/>
  <c r="AQ161" i="13"/>
  <c r="AL161" i="13"/>
  <c r="AM161" i="13" s="1"/>
  <c r="AH161" i="13"/>
  <c r="AI161" i="13" s="1"/>
  <c r="AD161" i="13"/>
  <c r="AE161" i="13" s="1"/>
  <c r="M160" i="13" s="1"/>
  <c r="Z161" i="13"/>
  <c r="J160" i="13" s="1"/>
  <c r="AA161" i="13"/>
  <c r="K160" i="13" s="1"/>
  <c r="V161" i="13"/>
  <c r="W161" i="13"/>
  <c r="I160" i="13" s="1"/>
  <c r="R161" i="13"/>
  <c r="S161" i="13" s="1"/>
  <c r="G160" i="13" s="1"/>
  <c r="AT160" i="13"/>
  <c r="AU160" i="13" s="1"/>
  <c r="AP160" i="13"/>
  <c r="AQ160" i="13"/>
  <c r="AL160" i="13"/>
  <c r="AM160" i="13" s="1"/>
  <c r="AH160" i="13"/>
  <c r="AI160" i="13" s="1"/>
  <c r="AD160" i="13"/>
  <c r="L159" i="13" s="1"/>
  <c r="Z160" i="13"/>
  <c r="AA160" i="13" s="1"/>
  <c r="K159" i="13" s="1"/>
  <c r="V160" i="13"/>
  <c r="H159" i="13" s="1"/>
  <c r="W160" i="13"/>
  <c r="I159" i="13" s="1"/>
  <c r="R160" i="13"/>
  <c r="S160" i="13" s="1"/>
  <c r="G159" i="13" s="1"/>
  <c r="H160" i="13"/>
  <c r="AT159" i="13"/>
  <c r="AU159" i="13"/>
  <c r="AP159" i="13"/>
  <c r="AQ159" i="13"/>
  <c r="AL159" i="13"/>
  <c r="AM159" i="13" s="1"/>
  <c r="AH159" i="13"/>
  <c r="AI159" i="13" s="1"/>
  <c r="AD159" i="13"/>
  <c r="Z159" i="13"/>
  <c r="V159" i="13"/>
  <c r="R159" i="13"/>
  <c r="AT158" i="13"/>
  <c r="AU158" i="13" s="1"/>
  <c r="AP158" i="13"/>
  <c r="AQ158" i="13" s="1"/>
  <c r="AL158" i="13"/>
  <c r="AM158" i="13"/>
  <c r="AH158" i="13"/>
  <c r="AI158" i="13" s="1"/>
  <c r="AD158" i="13"/>
  <c r="Z158" i="13"/>
  <c r="AA158" i="13" s="1"/>
  <c r="K157" i="13" s="1"/>
  <c r="V158" i="13"/>
  <c r="W158" i="13"/>
  <c r="I157" i="13" s="1"/>
  <c r="R158" i="13"/>
  <c r="AT157" i="13"/>
  <c r="AU157" i="13"/>
  <c r="AP157" i="13"/>
  <c r="AQ157" i="13" s="1"/>
  <c r="AL157" i="13"/>
  <c r="AM157" i="13" s="1"/>
  <c r="AH157" i="13"/>
  <c r="AI157" i="13"/>
  <c r="AD157" i="13"/>
  <c r="AE157" i="13" s="1"/>
  <c r="M156" i="13" s="1"/>
  <c r="Z157" i="13"/>
  <c r="AA157" i="13" s="1"/>
  <c r="K156" i="13" s="1"/>
  <c r="V157" i="13"/>
  <c r="W157" i="13" s="1"/>
  <c r="I156" i="13" s="1"/>
  <c r="R157" i="13"/>
  <c r="AT152" i="13"/>
  <c r="AP152" i="13"/>
  <c r="J151" i="13" s="1"/>
  <c r="AQ152" i="13"/>
  <c r="K151" i="13" s="1"/>
  <c r="AL152" i="13"/>
  <c r="AM152" i="13" s="1"/>
  <c r="I151" i="13" s="1"/>
  <c r="AH152" i="13"/>
  <c r="AD152" i="13"/>
  <c r="AE152" i="13"/>
  <c r="Z152" i="13"/>
  <c r="AA152" i="13" s="1"/>
  <c r="V152" i="13"/>
  <c r="W152" i="13" s="1"/>
  <c r="R152" i="13"/>
  <c r="S152" i="13" s="1"/>
  <c r="AT151" i="13"/>
  <c r="L150" i="13" s="1"/>
  <c r="AU151" i="13"/>
  <c r="M150" i="13" s="1"/>
  <c r="AP151" i="13"/>
  <c r="AQ151" i="13" s="1"/>
  <c r="K150" i="13" s="1"/>
  <c r="AL151" i="13"/>
  <c r="H150" i="13" s="1"/>
  <c r="AH151" i="13"/>
  <c r="AD151" i="13"/>
  <c r="AE151" i="13"/>
  <c r="Z151" i="13"/>
  <c r="AA151" i="13" s="1"/>
  <c r="V151" i="13"/>
  <c r="W151" i="13" s="1"/>
  <c r="R151" i="13"/>
  <c r="S151" i="13" s="1"/>
  <c r="AT150" i="13"/>
  <c r="L149" i="13" s="1"/>
  <c r="AP150" i="13"/>
  <c r="AQ150" i="13" s="1"/>
  <c r="K149" i="13" s="1"/>
  <c r="AL150" i="13"/>
  <c r="H149" i="13"/>
  <c r="AH150" i="13"/>
  <c r="AD150" i="13"/>
  <c r="AE150" i="13" s="1"/>
  <c r="Z150" i="13"/>
  <c r="AA150" i="13" s="1"/>
  <c r="V150" i="13"/>
  <c r="W150" i="13" s="1"/>
  <c r="R150" i="13"/>
  <c r="S150" i="13" s="1"/>
  <c r="AT149" i="13"/>
  <c r="AU149" i="13" s="1"/>
  <c r="M148" i="13" s="1"/>
  <c r="AP149" i="13"/>
  <c r="AQ149" i="13" s="1"/>
  <c r="K148" i="13" s="1"/>
  <c r="AL149" i="13"/>
  <c r="AM149" i="13" s="1"/>
  <c r="I148" i="13" s="1"/>
  <c r="AH149" i="13"/>
  <c r="AD149" i="13"/>
  <c r="AE149" i="13" s="1"/>
  <c r="Z149" i="13"/>
  <c r="AA149" i="13" s="1"/>
  <c r="V149" i="13"/>
  <c r="W149" i="13" s="1"/>
  <c r="R149" i="13"/>
  <c r="S149" i="13" s="1"/>
  <c r="AT148" i="13"/>
  <c r="AU148" i="13" s="1"/>
  <c r="M147" i="13"/>
  <c r="AP148" i="13"/>
  <c r="AL148" i="13"/>
  <c r="AM148" i="13" s="1"/>
  <c r="I147" i="13" s="1"/>
  <c r="AH148" i="13"/>
  <c r="AI148" i="13" s="1"/>
  <c r="G147" i="13" s="1"/>
  <c r="AD148" i="13"/>
  <c r="AE148" i="13" s="1"/>
  <c r="Z148" i="13"/>
  <c r="AA148" i="13" s="1"/>
  <c r="V148" i="13"/>
  <c r="W148" i="13" s="1"/>
  <c r="R148" i="13"/>
  <c r="S148" i="13" s="1"/>
  <c r="AT147" i="13"/>
  <c r="AU147" i="13" s="1"/>
  <c r="M146" i="13" s="1"/>
  <c r="AP147" i="13"/>
  <c r="J146" i="13" s="1"/>
  <c r="AL147" i="13"/>
  <c r="AM147" i="13" s="1"/>
  <c r="I146" i="13" s="1"/>
  <c r="AH147" i="13"/>
  <c r="F146" i="13" s="1"/>
  <c r="AD147" i="13"/>
  <c r="AE147" i="13" s="1"/>
  <c r="Z147" i="13"/>
  <c r="AA147" i="13" s="1"/>
  <c r="V147" i="13"/>
  <c r="W147" i="13" s="1"/>
  <c r="R147" i="13"/>
  <c r="S147" i="13" s="1"/>
  <c r="AT146" i="13"/>
  <c r="AP146" i="13"/>
  <c r="AQ146" i="13" s="1"/>
  <c r="K145" i="13" s="1"/>
  <c r="AL146" i="13"/>
  <c r="H145" i="13" s="1"/>
  <c r="AH146" i="13"/>
  <c r="F145" i="13" s="1"/>
  <c r="AD146" i="13"/>
  <c r="AE146" i="13" s="1"/>
  <c r="Z146" i="13"/>
  <c r="AA146" i="13" s="1"/>
  <c r="V146" i="13"/>
  <c r="W146" i="13" s="1"/>
  <c r="R146" i="13"/>
  <c r="S146" i="13" s="1"/>
  <c r="AT145" i="13"/>
  <c r="AU145" i="13" s="1"/>
  <c r="M144" i="13" s="1"/>
  <c r="AP145" i="13"/>
  <c r="AQ145" i="13"/>
  <c r="K144" i="13" s="1"/>
  <c r="AL145" i="13"/>
  <c r="AM145" i="13" s="1"/>
  <c r="I144" i="13" s="1"/>
  <c r="AH145" i="13"/>
  <c r="AI145" i="13"/>
  <c r="G144" i="13" s="1"/>
  <c r="AD145" i="13"/>
  <c r="AE145" i="13" s="1"/>
  <c r="Z145" i="13"/>
  <c r="AA145" i="13" s="1"/>
  <c r="V145" i="13"/>
  <c r="W145" i="13" s="1"/>
  <c r="R145" i="13"/>
  <c r="S145" i="13" s="1"/>
  <c r="AT144" i="13"/>
  <c r="L143" i="13" s="1"/>
  <c r="AP144" i="13"/>
  <c r="J143" i="13" s="1"/>
  <c r="AL144" i="13"/>
  <c r="AH144" i="13"/>
  <c r="F143" i="13" s="1"/>
  <c r="AD144" i="13"/>
  <c r="AE144" i="13"/>
  <c r="Z144" i="13"/>
  <c r="AA144" i="13"/>
  <c r="V144" i="13"/>
  <c r="W144" i="13" s="1"/>
  <c r="R144" i="13"/>
  <c r="S144" i="13" s="1"/>
  <c r="AT143" i="13"/>
  <c r="AP143" i="13"/>
  <c r="AQ143" i="13" s="1"/>
  <c r="K142" i="13" s="1"/>
  <c r="AL143" i="13"/>
  <c r="H142" i="13"/>
  <c r="AH143" i="13"/>
  <c r="AI143" i="13" s="1"/>
  <c r="G142" i="13" s="1"/>
  <c r="AD143" i="13"/>
  <c r="AE143" i="13" s="1"/>
  <c r="Z143" i="13"/>
  <c r="AA143" i="13" s="1"/>
  <c r="V143" i="13"/>
  <c r="W143" i="13" s="1"/>
  <c r="R143" i="13"/>
  <c r="S143" i="13" s="1"/>
  <c r="AT142" i="13"/>
  <c r="AP142" i="13"/>
  <c r="AQ142" i="13" s="1"/>
  <c r="K141" i="13" s="1"/>
  <c r="AL142" i="13"/>
  <c r="AM142" i="13"/>
  <c r="I141" i="13" s="1"/>
  <c r="AH142" i="13"/>
  <c r="F141" i="13" s="1"/>
  <c r="AD142" i="13"/>
  <c r="AE142" i="13" s="1"/>
  <c r="Z142" i="13"/>
  <c r="AA142" i="13"/>
  <c r="V142" i="13"/>
  <c r="W142" i="13" s="1"/>
  <c r="R142" i="13"/>
  <c r="S142" i="13" s="1"/>
  <c r="AT141" i="13"/>
  <c r="AU141" i="13" s="1"/>
  <c r="M140" i="13" s="1"/>
  <c r="L140" i="13"/>
  <c r="AP141" i="13"/>
  <c r="AQ141" i="13" s="1"/>
  <c r="K140" i="13" s="1"/>
  <c r="AL141" i="13"/>
  <c r="H140" i="13" s="1"/>
  <c r="AH141" i="13"/>
  <c r="AI141" i="13"/>
  <c r="G140" i="13" s="1"/>
  <c r="AD141" i="13"/>
  <c r="AE141" i="13" s="1"/>
  <c r="Z141" i="13"/>
  <c r="AA141" i="13" s="1"/>
  <c r="V141" i="13"/>
  <c r="W141" i="13" s="1"/>
  <c r="R141" i="13"/>
  <c r="S141" i="13" s="1"/>
  <c r="AT140" i="13"/>
  <c r="AP140" i="13"/>
  <c r="AL140" i="13"/>
  <c r="AH140" i="13"/>
  <c r="AI140" i="13" s="1"/>
  <c r="G139" i="13" s="1"/>
  <c r="AD140" i="13"/>
  <c r="AE140" i="13" s="1"/>
  <c r="Z140" i="13"/>
  <c r="AA140" i="13" s="1"/>
  <c r="V140" i="13"/>
  <c r="W140" i="13" s="1"/>
  <c r="R140" i="13"/>
  <c r="S140" i="13" s="1"/>
  <c r="AT139" i="13"/>
  <c r="AP139" i="13"/>
  <c r="J138" i="13" s="1"/>
  <c r="AL139" i="13"/>
  <c r="AM139" i="13"/>
  <c r="I138" i="13" s="1"/>
  <c r="AH139" i="13"/>
  <c r="F138" i="13"/>
  <c r="AD139" i="13"/>
  <c r="AE139" i="13" s="1"/>
  <c r="Z139" i="13"/>
  <c r="AA139" i="13" s="1"/>
  <c r="V139" i="13"/>
  <c r="W139" i="13" s="1"/>
  <c r="R139" i="13"/>
  <c r="S139" i="13" s="1"/>
  <c r="AT138" i="13"/>
  <c r="AU138" i="13" s="1"/>
  <c r="M137" i="13" s="1"/>
  <c r="AP138" i="13"/>
  <c r="AQ138" i="13" s="1"/>
  <c r="K137" i="13" s="1"/>
  <c r="AL138" i="13"/>
  <c r="H137" i="13" s="1"/>
  <c r="AM138" i="13"/>
  <c r="I137" i="13" s="1"/>
  <c r="AH138" i="13"/>
  <c r="AD138" i="13"/>
  <c r="AE138" i="13" s="1"/>
  <c r="Z138" i="13"/>
  <c r="AA138" i="13" s="1"/>
  <c r="V138" i="13"/>
  <c r="W138" i="13" s="1"/>
  <c r="R138" i="13"/>
  <c r="S138" i="13" s="1"/>
  <c r="AT133" i="13"/>
  <c r="AU133" i="13" s="1"/>
  <c r="AP133" i="13"/>
  <c r="AQ133" i="13" s="1"/>
  <c r="AL133" i="13"/>
  <c r="AM133" i="13"/>
  <c r="AH133" i="13"/>
  <c r="AI133" i="13" s="1"/>
  <c r="AD133" i="13"/>
  <c r="L132" i="13" s="1"/>
  <c r="AE133" i="13"/>
  <c r="M132" i="13" s="1"/>
  <c r="Z133" i="13"/>
  <c r="AA133" i="13"/>
  <c r="K132" i="13" s="1"/>
  <c r="V133" i="13"/>
  <c r="H132" i="13" s="1"/>
  <c r="R133" i="13"/>
  <c r="S133" i="13" s="1"/>
  <c r="G132" i="13" s="1"/>
  <c r="AT132" i="13"/>
  <c r="AU132" i="13" s="1"/>
  <c r="AP132" i="13"/>
  <c r="AQ132" i="13" s="1"/>
  <c r="AL132" i="13"/>
  <c r="AM132" i="13"/>
  <c r="AH132" i="13"/>
  <c r="AI132" i="13" s="1"/>
  <c r="AD132" i="13"/>
  <c r="AE132" i="13" s="1"/>
  <c r="M131" i="13" s="1"/>
  <c r="Z132" i="13"/>
  <c r="AA132" i="13" s="1"/>
  <c r="K131" i="13" s="1"/>
  <c r="V132" i="13"/>
  <c r="W132" i="13" s="1"/>
  <c r="I131" i="13" s="1"/>
  <c r="R132" i="13"/>
  <c r="J132" i="13"/>
  <c r="AT131" i="13"/>
  <c r="AU131" i="13"/>
  <c r="AP131" i="13"/>
  <c r="AQ131" i="13"/>
  <c r="AL131" i="13"/>
  <c r="AM131" i="13" s="1"/>
  <c r="AH131" i="13"/>
  <c r="AI131" i="13" s="1"/>
  <c r="AD131" i="13"/>
  <c r="L130" i="13" s="1"/>
  <c r="Z131" i="13"/>
  <c r="J130" i="13" s="1"/>
  <c r="V131" i="13"/>
  <c r="R131" i="13"/>
  <c r="S131" i="13" s="1"/>
  <c r="G130" i="13" s="1"/>
  <c r="AT130" i="13"/>
  <c r="AU130" i="13"/>
  <c r="AP130" i="13"/>
  <c r="AQ130" i="13" s="1"/>
  <c r="AL130" i="13"/>
  <c r="AM130" i="13" s="1"/>
  <c r="AH130" i="13"/>
  <c r="AD130" i="13"/>
  <c r="L129" i="13" s="1"/>
  <c r="Z130" i="13"/>
  <c r="J129" i="13" s="1"/>
  <c r="V130" i="13"/>
  <c r="W130" i="13" s="1"/>
  <c r="I129" i="13" s="1"/>
  <c r="R130" i="13"/>
  <c r="S130" i="13" s="1"/>
  <c r="G129" i="13" s="1"/>
  <c r="AT129" i="13"/>
  <c r="AU129" i="13" s="1"/>
  <c r="AP129" i="13"/>
  <c r="AQ129" i="13" s="1"/>
  <c r="AL129" i="13"/>
  <c r="AM129" i="13" s="1"/>
  <c r="AH129" i="13"/>
  <c r="AI129" i="13"/>
  <c r="AD129" i="13"/>
  <c r="Z129" i="13"/>
  <c r="AA129" i="13" s="1"/>
  <c r="K128" i="13" s="1"/>
  <c r="V129" i="13"/>
  <c r="H128" i="13" s="1"/>
  <c r="R129" i="13"/>
  <c r="F128" i="13" s="1"/>
  <c r="AT128" i="13"/>
  <c r="AU128" i="13" s="1"/>
  <c r="AP128" i="13"/>
  <c r="AQ128" i="13" s="1"/>
  <c r="AL128" i="13"/>
  <c r="AM128" i="13" s="1"/>
  <c r="AH128" i="13"/>
  <c r="AI128" i="13" s="1"/>
  <c r="AD128" i="13"/>
  <c r="Z128" i="13"/>
  <c r="AA128" i="13" s="1"/>
  <c r="K127" i="13" s="1"/>
  <c r="V128" i="13"/>
  <c r="R128" i="13"/>
  <c r="S128" i="13" s="1"/>
  <c r="G127" i="13" s="1"/>
  <c r="AT127" i="13"/>
  <c r="AU127" i="13" s="1"/>
  <c r="AP127" i="13"/>
  <c r="AQ127" i="13" s="1"/>
  <c r="AL127" i="13"/>
  <c r="AH127" i="13"/>
  <c r="AI127" i="13" s="1"/>
  <c r="AD127" i="13"/>
  <c r="AE127" i="13" s="1"/>
  <c r="Z127" i="13"/>
  <c r="AA127" i="13"/>
  <c r="K126" i="13" s="1"/>
  <c r="V127" i="13"/>
  <c r="W127" i="13" s="1"/>
  <c r="I126" i="13" s="1"/>
  <c r="R127" i="13"/>
  <c r="S127" i="13" s="1"/>
  <c r="G126" i="13" s="1"/>
  <c r="AT126" i="13"/>
  <c r="AU126" i="13" s="1"/>
  <c r="AP126" i="13"/>
  <c r="AQ126" i="13" s="1"/>
  <c r="AL126" i="13"/>
  <c r="AM126" i="13" s="1"/>
  <c r="AH126" i="13"/>
  <c r="AI126" i="13" s="1"/>
  <c r="AD126" i="13"/>
  <c r="L125" i="13" s="1"/>
  <c r="Z126" i="13"/>
  <c r="AA126" i="13" s="1"/>
  <c r="K125" i="13" s="1"/>
  <c r="V126" i="13"/>
  <c r="H125" i="13" s="1"/>
  <c r="R126" i="13"/>
  <c r="AT125" i="13"/>
  <c r="AU125" i="13" s="1"/>
  <c r="AP125" i="13"/>
  <c r="AQ125" i="13" s="1"/>
  <c r="AL125" i="13"/>
  <c r="AM125" i="13" s="1"/>
  <c r="AH125" i="13"/>
  <c r="AI125" i="13" s="1"/>
  <c r="AD125" i="13"/>
  <c r="Z125" i="13"/>
  <c r="AA125" i="13" s="1"/>
  <c r="K124" i="13" s="1"/>
  <c r="V125" i="13"/>
  <c r="W125" i="13" s="1"/>
  <c r="I124" i="13" s="1"/>
  <c r="R125" i="13"/>
  <c r="AT124" i="13"/>
  <c r="AU124" i="13" s="1"/>
  <c r="AP124" i="13"/>
  <c r="AL124" i="13"/>
  <c r="AM124" i="13" s="1"/>
  <c r="AH124" i="13"/>
  <c r="AI124" i="13" s="1"/>
  <c r="AD124" i="13"/>
  <c r="AE124" i="13" s="1"/>
  <c r="M123" i="13" s="1"/>
  <c r="Z124" i="13"/>
  <c r="AA124" i="13" s="1"/>
  <c r="K123" i="13" s="1"/>
  <c r="V124" i="13"/>
  <c r="W124" i="13" s="1"/>
  <c r="R124" i="13"/>
  <c r="S124" i="13" s="1"/>
  <c r="AT123" i="13"/>
  <c r="AU123" i="13" s="1"/>
  <c r="AP123" i="13"/>
  <c r="AQ123" i="13" s="1"/>
  <c r="AL123" i="13"/>
  <c r="AM123" i="13" s="1"/>
  <c r="AH123" i="13"/>
  <c r="AI123" i="13"/>
  <c r="AD123" i="13"/>
  <c r="AE123" i="13"/>
  <c r="M122" i="13" s="1"/>
  <c r="Z123" i="13"/>
  <c r="V123" i="13"/>
  <c r="H122" i="13" s="1"/>
  <c r="R123" i="13"/>
  <c r="S123" i="13"/>
  <c r="AT122" i="13"/>
  <c r="AU122" i="13" s="1"/>
  <c r="AP122" i="13"/>
  <c r="AQ122" i="13" s="1"/>
  <c r="AL122" i="13"/>
  <c r="AM122" i="13" s="1"/>
  <c r="AH122" i="13"/>
  <c r="AI122" i="13" s="1"/>
  <c r="AD122" i="13"/>
  <c r="AE122" i="13" s="1"/>
  <c r="M121" i="13" s="1"/>
  <c r="Z122" i="13"/>
  <c r="AA122" i="13" s="1"/>
  <c r="V122" i="13"/>
  <c r="R122" i="13"/>
  <c r="AT121" i="13"/>
  <c r="AU121" i="13" s="1"/>
  <c r="AP121" i="13"/>
  <c r="AQ121" i="13" s="1"/>
  <c r="AL121" i="13"/>
  <c r="AM121" i="13" s="1"/>
  <c r="AH121" i="13"/>
  <c r="AI121" i="13" s="1"/>
  <c r="AD121" i="13"/>
  <c r="AE121" i="13" s="1"/>
  <c r="Z121" i="13"/>
  <c r="AA121" i="13" s="1"/>
  <c r="K120" i="13" s="1"/>
  <c r="V121" i="13"/>
  <c r="W121" i="13" s="1"/>
  <c r="I120" i="13" s="1"/>
  <c r="R121" i="13"/>
  <c r="S121" i="13" s="1"/>
  <c r="G120" i="13" s="1"/>
  <c r="AT120" i="13"/>
  <c r="AU120" i="13" s="1"/>
  <c r="AP120" i="13"/>
  <c r="AQ120" i="13" s="1"/>
  <c r="AL120" i="13"/>
  <c r="AM120" i="13" s="1"/>
  <c r="AH120" i="13"/>
  <c r="AI120" i="13" s="1"/>
  <c r="AD120" i="13"/>
  <c r="L119" i="13" s="1"/>
  <c r="Z120" i="13"/>
  <c r="J119" i="13" s="1"/>
  <c r="V120" i="13"/>
  <c r="W120" i="13" s="1"/>
  <c r="I119" i="13" s="1"/>
  <c r="R120" i="13"/>
  <c r="AT119" i="13"/>
  <c r="AU119" i="13" s="1"/>
  <c r="AP119" i="13"/>
  <c r="AQ119" i="13" s="1"/>
  <c r="AL119" i="13"/>
  <c r="AM119" i="13" s="1"/>
  <c r="AH119" i="13"/>
  <c r="AI119" i="13" s="1"/>
  <c r="AD119" i="13"/>
  <c r="AE119" i="13" s="1"/>
  <c r="M118" i="13" s="1"/>
  <c r="Z119" i="13"/>
  <c r="J118" i="13" s="1"/>
  <c r="AA119" i="13"/>
  <c r="K118" i="13" s="1"/>
  <c r="V119" i="13"/>
  <c r="R119" i="13"/>
  <c r="S119" i="13" s="1"/>
  <c r="G118" i="13" s="1"/>
  <c r="AT114" i="13"/>
  <c r="AU114" i="13" s="1"/>
  <c r="M113" i="13" s="1"/>
  <c r="AP114" i="13"/>
  <c r="AL114" i="13"/>
  <c r="AH114" i="13"/>
  <c r="AD114" i="13"/>
  <c r="AE114" i="13" s="1"/>
  <c r="Z114" i="13"/>
  <c r="AA114" i="13" s="1"/>
  <c r="V114" i="13"/>
  <c r="W114" i="13" s="1"/>
  <c r="R114" i="13"/>
  <c r="S114" i="13" s="1"/>
  <c r="AT113" i="13"/>
  <c r="AP113" i="13"/>
  <c r="J112" i="13" s="1"/>
  <c r="AQ113" i="13"/>
  <c r="K112" i="13" s="1"/>
  <c r="AL113" i="13"/>
  <c r="AH113" i="13"/>
  <c r="F112" i="13" s="1"/>
  <c r="AD113" i="13"/>
  <c r="AE113" i="13" s="1"/>
  <c r="Z113" i="13"/>
  <c r="AA113" i="13" s="1"/>
  <c r="V113" i="13"/>
  <c r="W113" i="13" s="1"/>
  <c r="R113" i="13"/>
  <c r="S113" i="13" s="1"/>
  <c r="AT112" i="13"/>
  <c r="AP112" i="13"/>
  <c r="AL112" i="13"/>
  <c r="AM112" i="13"/>
  <c r="I111" i="13" s="1"/>
  <c r="AH112" i="13"/>
  <c r="AD112" i="13"/>
  <c r="AE112" i="13" s="1"/>
  <c r="Z112" i="13"/>
  <c r="AA112" i="13" s="1"/>
  <c r="V112" i="13"/>
  <c r="W112" i="13" s="1"/>
  <c r="R112" i="13"/>
  <c r="S112" i="13" s="1"/>
  <c r="AT111" i="13"/>
  <c r="AU111" i="13" s="1"/>
  <c r="M110" i="13" s="1"/>
  <c r="AP111" i="13"/>
  <c r="AQ111" i="13" s="1"/>
  <c r="K110" i="13" s="1"/>
  <c r="AL111" i="13"/>
  <c r="AM111" i="13" s="1"/>
  <c r="I110" i="13" s="1"/>
  <c r="AH111" i="13"/>
  <c r="AD111" i="13"/>
  <c r="AE111" i="13" s="1"/>
  <c r="Z111" i="13"/>
  <c r="AA111" i="13" s="1"/>
  <c r="V111" i="13"/>
  <c r="W111" i="13" s="1"/>
  <c r="R111" i="13"/>
  <c r="H111" i="13"/>
  <c r="AT110" i="13"/>
  <c r="L109" i="13" s="1"/>
  <c r="AP110" i="13"/>
  <c r="J109" i="13" s="1"/>
  <c r="AL110" i="13"/>
  <c r="AM110" i="13" s="1"/>
  <c r="AH110" i="13"/>
  <c r="AI110" i="13" s="1"/>
  <c r="AD110" i="13"/>
  <c r="AE110" i="13"/>
  <c r="Z110" i="13"/>
  <c r="AA110" i="13" s="1"/>
  <c r="V110" i="13"/>
  <c r="W110" i="13" s="1"/>
  <c r="R110" i="13"/>
  <c r="S110" i="13" s="1"/>
  <c r="AT109" i="13"/>
  <c r="AU109" i="13" s="1"/>
  <c r="M108" i="13" s="1"/>
  <c r="AP109" i="13"/>
  <c r="AL109" i="13"/>
  <c r="AM109" i="13" s="1"/>
  <c r="AH109" i="13"/>
  <c r="AI109" i="13" s="1"/>
  <c r="G108" i="13" s="1"/>
  <c r="AD109" i="13"/>
  <c r="AE109" i="13" s="1"/>
  <c r="Z109" i="13"/>
  <c r="AA109" i="13" s="1"/>
  <c r="V109" i="13"/>
  <c r="W109" i="13" s="1"/>
  <c r="R109" i="13"/>
  <c r="S109" i="13" s="1"/>
  <c r="AT108" i="13"/>
  <c r="AP108" i="13"/>
  <c r="AL108" i="13"/>
  <c r="AH108" i="13"/>
  <c r="F107" i="13" s="1"/>
  <c r="AD108" i="13"/>
  <c r="AE108" i="13" s="1"/>
  <c r="Z108" i="13"/>
  <c r="AA108" i="13" s="1"/>
  <c r="V108" i="13"/>
  <c r="W108" i="13" s="1"/>
  <c r="R108" i="13"/>
  <c r="S108" i="13" s="1"/>
  <c r="AT107" i="13"/>
  <c r="AU107" i="13" s="1"/>
  <c r="M106" i="13" s="1"/>
  <c r="AP107" i="13"/>
  <c r="J106" i="13" s="1"/>
  <c r="AL107" i="13"/>
  <c r="H106" i="13" s="1"/>
  <c r="AH107" i="13"/>
  <c r="AI107" i="13" s="1"/>
  <c r="AD107" i="13"/>
  <c r="AE107" i="13" s="1"/>
  <c r="Z107" i="13"/>
  <c r="AA107" i="13" s="1"/>
  <c r="V107" i="13"/>
  <c r="W107" i="13" s="1"/>
  <c r="R107" i="13"/>
  <c r="S107" i="13" s="1"/>
  <c r="AT106" i="13"/>
  <c r="AU106" i="13" s="1"/>
  <c r="M105" i="13" s="1"/>
  <c r="AP106" i="13"/>
  <c r="AQ106" i="13" s="1"/>
  <c r="K105" i="13" s="1"/>
  <c r="AL106" i="13"/>
  <c r="AH106" i="13"/>
  <c r="AI106" i="13"/>
  <c r="G105" i="13" s="1"/>
  <c r="AD106" i="13"/>
  <c r="AE106" i="13"/>
  <c r="Z106" i="13"/>
  <c r="AA106" i="13" s="1"/>
  <c r="V106" i="13"/>
  <c r="W106" i="13" s="1"/>
  <c r="R106" i="13"/>
  <c r="S106" i="13" s="1"/>
  <c r="AT105" i="13"/>
  <c r="AP105" i="13"/>
  <c r="AL105" i="13"/>
  <c r="AH105" i="13"/>
  <c r="AI105" i="13" s="1"/>
  <c r="AD105" i="13"/>
  <c r="AE105" i="13" s="1"/>
  <c r="Z105" i="13"/>
  <c r="V105" i="13"/>
  <c r="W105" i="13" s="1"/>
  <c r="R105" i="13"/>
  <c r="AT104" i="13"/>
  <c r="AU104" i="13" s="1"/>
  <c r="M103" i="13" s="1"/>
  <c r="AP104" i="13"/>
  <c r="J103" i="13" s="1"/>
  <c r="AL104" i="13"/>
  <c r="AM104" i="13" s="1"/>
  <c r="I103" i="13" s="1"/>
  <c r="AH104" i="13"/>
  <c r="AI104" i="13" s="1"/>
  <c r="G103" i="13" s="1"/>
  <c r="AD104" i="13"/>
  <c r="AE104" i="13"/>
  <c r="Z104" i="13"/>
  <c r="AA104" i="13" s="1"/>
  <c r="V104" i="13"/>
  <c r="W104" i="13" s="1"/>
  <c r="R104" i="13"/>
  <c r="S104" i="13" s="1"/>
  <c r="AT103" i="13"/>
  <c r="AP103" i="13"/>
  <c r="AQ103" i="13" s="1"/>
  <c r="AL103" i="13"/>
  <c r="AM103" i="13" s="1"/>
  <c r="I102" i="13" s="1"/>
  <c r="AH103" i="13"/>
  <c r="AI103" i="13" s="1"/>
  <c r="G102" i="13" s="1"/>
  <c r="AD103" i="13"/>
  <c r="AE103" i="13"/>
  <c r="Z103" i="13"/>
  <c r="AA103" i="13" s="1"/>
  <c r="K102" i="13"/>
  <c r="V103" i="13"/>
  <c r="W103" i="13" s="1"/>
  <c r="R103" i="13"/>
  <c r="S103" i="13" s="1"/>
  <c r="AT102" i="13"/>
  <c r="AU102" i="13"/>
  <c r="M101" i="13" s="1"/>
  <c r="AP102" i="13"/>
  <c r="AQ102" i="13"/>
  <c r="K101" i="13" s="1"/>
  <c r="AL102" i="13"/>
  <c r="AH102" i="13"/>
  <c r="AI102" i="13" s="1"/>
  <c r="G101" i="13" s="1"/>
  <c r="AD102" i="13"/>
  <c r="AE102" i="13" s="1"/>
  <c r="L101" i="13"/>
  <c r="Z102" i="13"/>
  <c r="AA102" i="13" s="1"/>
  <c r="V102" i="13"/>
  <c r="W102" i="13" s="1"/>
  <c r="R102" i="13"/>
  <c r="S102" i="13" s="1"/>
  <c r="AT101" i="13"/>
  <c r="AP101" i="13"/>
  <c r="J100" i="13" s="1"/>
  <c r="AQ101" i="13"/>
  <c r="K100" i="13" s="1"/>
  <c r="AL101" i="13"/>
  <c r="AH101" i="13"/>
  <c r="AD101" i="13"/>
  <c r="AE101" i="13" s="1"/>
  <c r="Z101" i="13"/>
  <c r="AA101" i="13" s="1"/>
  <c r="V101" i="13"/>
  <c r="W101" i="13" s="1"/>
  <c r="R101" i="13"/>
  <c r="S101" i="13"/>
  <c r="AT100" i="13"/>
  <c r="L99" i="13" s="1"/>
  <c r="AP100" i="13"/>
  <c r="AL100" i="13"/>
  <c r="H99" i="13" s="1"/>
  <c r="AM100" i="13"/>
  <c r="I99" i="13" s="1"/>
  <c r="AH100" i="13"/>
  <c r="AD100" i="13"/>
  <c r="AE100" i="13"/>
  <c r="Z100" i="13"/>
  <c r="AA100" i="13" s="1"/>
  <c r="V100" i="13"/>
  <c r="W100" i="13" s="1"/>
  <c r="R100" i="13"/>
  <c r="S100" i="13" s="1"/>
  <c r="AT95" i="13"/>
  <c r="AU95" i="13" s="1"/>
  <c r="AP95" i="13"/>
  <c r="AQ95" i="13" s="1"/>
  <c r="AL95" i="13"/>
  <c r="AM95" i="13" s="1"/>
  <c r="AH95" i="13"/>
  <c r="AD95" i="13"/>
  <c r="AE95" i="13" s="1"/>
  <c r="Z95" i="13"/>
  <c r="V95" i="13"/>
  <c r="H94" i="13" s="1"/>
  <c r="W95" i="13"/>
  <c r="I94" i="13" s="1"/>
  <c r="R95" i="13"/>
  <c r="S95" i="13" s="1"/>
  <c r="AT94" i="13"/>
  <c r="AU94" i="13" s="1"/>
  <c r="AP94" i="13"/>
  <c r="AQ94" i="13" s="1"/>
  <c r="AL94" i="13"/>
  <c r="AM94" i="13" s="1"/>
  <c r="AH94" i="13"/>
  <c r="AI94" i="13" s="1"/>
  <c r="AD94" i="13"/>
  <c r="AE94" i="13"/>
  <c r="M93" i="13" s="1"/>
  <c r="Z94" i="13"/>
  <c r="V94" i="13"/>
  <c r="R94" i="13"/>
  <c r="AT93" i="13"/>
  <c r="AU93" i="13" s="1"/>
  <c r="AP93" i="13"/>
  <c r="AQ93" i="13" s="1"/>
  <c r="AL93" i="13"/>
  <c r="AM93" i="13" s="1"/>
  <c r="AH93" i="13"/>
  <c r="AI93" i="13"/>
  <c r="AD93" i="13"/>
  <c r="L92" i="13" s="1"/>
  <c r="AE93" i="13"/>
  <c r="M92" i="13" s="1"/>
  <c r="Z93" i="13"/>
  <c r="AA93" i="13" s="1"/>
  <c r="K92" i="13" s="1"/>
  <c r="V93" i="13"/>
  <c r="W93" i="13"/>
  <c r="I92" i="13" s="1"/>
  <c r="R93" i="13"/>
  <c r="S93" i="13"/>
  <c r="AT92" i="13"/>
  <c r="AU92" i="13"/>
  <c r="AP92" i="13"/>
  <c r="AQ92" i="13" s="1"/>
  <c r="AL92" i="13"/>
  <c r="AM92" i="13" s="1"/>
  <c r="AH92" i="13"/>
  <c r="AI92" i="13" s="1"/>
  <c r="AD92" i="13"/>
  <c r="AE92" i="13" s="1"/>
  <c r="M91" i="13" s="1"/>
  <c r="Z92" i="13"/>
  <c r="V92" i="13"/>
  <c r="R92" i="13"/>
  <c r="S92" i="13" s="1"/>
  <c r="G91" i="13" s="1"/>
  <c r="AT91" i="13"/>
  <c r="AU91" i="13" s="1"/>
  <c r="AP91" i="13"/>
  <c r="AQ91" i="13" s="1"/>
  <c r="AL91" i="13"/>
  <c r="AM91" i="13" s="1"/>
  <c r="AH91" i="13"/>
  <c r="AI91" i="13" s="1"/>
  <c r="AD91" i="13"/>
  <c r="AE91" i="13" s="1"/>
  <c r="M90" i="13" s="1"/>
  <c r="Z91" i="13"/>
  <c r="V91" i="13"/>
  <c r="R91" i="13"/>
  <c r="S91" i="13" s="1"/>
  <c r="G90" i="13" s="1"/>
  <c r="AT90" i="13"/>
  <c r="AU90" i="13" s="1"/>
  <c r="AP90" i="13"/>
  <c r="AQ90" i="13" s="1"/>
  <c r="AL90" i="13"/>
  <c r="AM90" i="13" s="1"/>
  <c r="AH90" i="13"/>
  <c r="AI90" i="13" s="1"/>
  <c r="AD90" i="13"/>
  <c r="Z90" i="13"/>
  <c r="V90" i="13"/>
  <c r="W90" i="13" s="1"/>
  <c r="I89" i="13" s="1"/>
  <c r="R90" i="13"/>
  <c r="S90" i="13"/>
  <c r="G89" i="13" s="1"/>
  <c r="AT89" i="13"/>
  <c r="AP89" i="13"/>
  <c r="AQ89" i="13"/>
  <c r="AL89" i="13"/>
  <c r="AH89" i="13"/>
  <c r="AI89" i="13" s="1"/>
  <c r="AD89" i="13"/>
  <c r="Z89" i="13"/>
  <c r="AA89" i="13" s="1"/>
  <c r="V89" i="13"/>
  <c r="W89" i="13" s="1"/>
  <c r="I88" i="13" s="1"/>
  <c r="R89" i="13"/>
  <c r="S89" i="13"/>
  <c r="G88" i="13" s="1"/>
  <c r="AT88" i="13"/>
  <c r="AU88" i="13" s="1"/>
  <c r="AP88" i="13"/>
  <c r="AQ88" i="13" s="1"/>
  <c r="AL88" i="13"/>
  <c r="AM88" i="13" s="1"/>
  <c r="AH88" i="13"/>
  <c r="AI88" i="13" s="1"/>
  <c r="AD88" i="13"/>
  <c r="L87" i="13"/>
  <c r="Z88" i="13"/>
  <c r="J87" i="13" s="1"/>
  <c r="V88" i="13"/>
  <c r="R88" i="13"/>
  <c r="AT87" i="13"/>
  <c r="AU87" i="13" s="1"/>
  <c r="AP87" i="13"/>
  <c r="AQ87" i="13" s="1"/>
  <c r="AL87" i="13"/>
  <c r="AM87" i="13" s="1"/>
  <c r="AH87" i="13"/>
  <c r="AI87" i="13"/>
  <c r="AD87" i="13"/>
  <c r="AE87" i="13"/>
  <c r="M86" i="13" s="1"/>
  <c r="Z87" i="13"/>
  <c r="V87" i="13"/>
  <c r="W87" i="13" s="1"/>
  <c r="I86" i="13" s="1"/>
  <c r="R87" i="13"/>
  <c r="S87" i="13" s="1"/>
  <c r="G86" i="13" s="1"/>
  <c r="AT86" i="13"/>
  <c r="AU86" i="13" s="1"/>
  <c r="AP86" i="13"/>
  <c r="AQ86" i="13" s="1"/>
  <c r="AL86" i="13"/>
  <c r="AM86" i="13" s="1"/>
  <c r="AH86" i="13"/>
  <c r="AI86" i="13" s="1"/>
  <c r="AD86" i="13"/>
  <c r="AE86" i="13" s="1"/>
  <c r="M85" i="13" s="1"/>
  <c r="Z86" i="13"/>
  <c r="J85" i="13" s="1"/>
  <c r="V86" i="13"/>
  <c r="W86" i="13" s="1"/>
  <c r="R86" i="13"/>
  <c r="AT85" i="13"/>
  <c r="AU85" i="13"/>
  <c r="AP85" i="13"/>
  <c r="AQ85" i="13"/>
  <c r="AL85" i="13"/>
  <c r="AM85" i="13" s="1"/>
  <c r="AH85" i="13"/>
  <c r="AI85" i="13" s="1"/>
  <c r="AD85" i="13"/>
  <c r="L84" i="13" s="1"/>
  <c r="Z85" i="13"/>
  <c r="J84" i="13" s="1"/>
  <c r="V85" i="13"/>
  <c r="W85" i="13" s="1"/>
  <c r="R85" i="13"/>
  <c r="F84" i="13" s="1"/>
  <c r="AT84" i="13"/>
  <c r="AU84" i="13"/>
  <c r="AP84" i="13"/>
  <c r="AQ84" i="13" s="1"/>
  <c r="AL84" i="13"/>
  <c r="AM84" i="13" s="1"/>
  <c r="AH84" i="13"/>
  <c r="AI84" i="13" s="1"/>
  <c r="AD84" i="13"/>
  <c r="Z84" i="13"/>
  <c r="AA84" i="13"/>
  <c r="V84" i="13"/>
  <c r="W84" i="13" s="1"/>
  <c r="I83" i="13" s="1"/>
  <c r="R84" i="13"/>
  <c r="AT83" i="13"/>
  <c r="AP83" i="13"/>
  <c r="AQ83" i="13" s="1"/>
  <c r="AL83" i="13"/>
  <c r="AM83" i="13" s="1"/>
  <c r="AH83" i="13"/>
  <c r="AI83" i="13" s="1"/>
  <c r="AD83" i="13"/>
  <c r="Z83" i="13"/>
  <c r="V83" i="13"/>
  <c r="H82" i="13" s="1"/>
  <c r="W83" i="13"/>
  <c r="I82" i="13" s="1"/>
  <c r="R83" i="13"/>
  <c r="S83" i="13" s="1"/>
  <c r="G82" i="13" s="1"/>
  <c r="AT82" i="13"/>
  <c r="AU82" i="13"/>
  <c r="AP82" i="13"/>
  <c r="AQ82" i="13" s="1"/>
  <c r="AL82" i="13"/>
  <c r="AM82" i="13" s="1"/>
  <c r="AH82" i="13"/>
  <c r="AI82" i="13" s="1"/>
  <c r="AD82" i="13"/>
  <c r="AE82" i="13"/>
  <c r="M81" i="13" s="1"/>
  <c r="Z82" i="13"/>
  <c r="J81" i="13" s="1"/>
  <c r="V82" i="13"/>
  <c r="H81" i="13" s="1"/>
  <c r="R82" i="13"/>
  <c r="S82" i="13" s="1"/>
  <c r="G81" i="13" s="1"/>
  <c r="AT81" i="13"/>
  <c r="AU81" i="13" s="1"/>
  <c r="AP81" i="13"/>
  <c r="AQ81" i="13" s="1"/>
  <c r="AL81" i="13"/>
  <c r="AM81" i="13" s="1"/>
  <c r="AH81" i="13"/>
  <c r="AI81" i="13" s="1"/>
  <c r="AD81" i="13"/>
  <c r="L80" i="13" s="1"/>
  <c r="Z81" i="13"/>
  <c r="AA81" i="13" s="1"/>
  <c r="K80" i="13"/>
  <c r="V81" i="13"/>
  <c r="H80" i="13" s="1"/>
  <c r="R81" i="13"/>
  <c r="S81" i="13" s="1"/>
  <c r="G80" i="13" s="1"/>
  <c r="AT76" i="13"/>
  <c r="AP76" i="13"/>
  <c r="J75" i="13" s="1"/>
  <c r="AL76" i="13"/>
  <c r="AM76" i="13" s="1"/>
  <c r="I75" i="13" s="1"/>
  <c r="AH76" i="13"/>
  <c r="AD76" i="13"/>
  <c r="AE76" i="13" s="1"/>
  <c r="Z76" i="13"/>
  <c r="AA76" i="13" s="1"/>
  <c r="V76" i="13"/>
  <c r="W76" i="13" s="1"/>
  <c r="R76" i="13"/>
  <c r="S76" i="13" s="1"/>
  <c r="AT75" i="13"/>
  <c r="AP75" i="13"/>
  <c r="AL75" i="13"/>
  <c r="H74" i="13" s="1"/>
  <c r="AM75" i="13"/>
  <c r="I74" i="13" s="1"/>
  <c r="AH75" i="13"/>
  <c r="F74" i="13" s="1"/>
  <c r="AD75" i="13"/>
  <c r="AE75" i="13" s="1"/>
  <c r="Z75" i="13"/>
  <c r="AA75" i="13" s="1"/>
  <c r="V75" i="13"/>
  <c r="W75" i="13" s="1"/>
  <c r="R75" i="13"/>
  <c r="S75" i="13" s="1"/>
  <c r="AT74" i="13"/>
  <c r="L73" i="13" s="1"/>
  <c r="AP74" i="13"/>
  <c r="J73" i="13" s="1"/>
  <c r="AL74" i="13"/>
  <c r="AM74" i="13"/>
  <c r="I73" i="13" s="1"/>
  <c r="AH74" i="13"/>
  <c r="AD74" i="13"/>
  <c r="AE74" i="13" s="1"/>
  <c r="Z74" i="13"/>
  <c r="AA74" i="13"/>
  <c r="V74" i="13"/>
  <c r="W74" i="13" s="1"/>
  <c r="R74" i="13"/>
  <c r="S74" i="13" s="1"/>
  <c r="AT73" i="13"/>
  <c r="AU73" i="13"/>
  <c r="M72" i="13" s="1"/>
  <c r="AP73" i="13"/>
  <c r="AQ73" i="13"/>
  <c r="K72" i="13" s="1"/>
  <c r="AL73" i="13"/>
  <c r="AM73" i="13" s="1"/>
  <c r="I72" i="13" s="1"/>
  <c r="AH73" i="13"/>
  <c r="AD73" i="13"/>
  <c r="AE73" i="13" s="1"/>
  <c r="Z73" i="13"/>
  <c r="V73" i="13"/>
  <c r="W73" i="13" s="1"/>
  <c r="R73" i="13"/>
  <c r="H73" i="13"/>
  <c r="AT72" i="13"/>
  <c r="L71" i="13" s="1"/>
  <c r="AP72" i="13"/>
  <c r="AQ72" i="13" s="1"/>
  <c r="K71" i="13" s="1"/>
  <c r="AL72" i="13"/>
  <c r="AH72" i="13"/>
  <c r="F71" i="13" s="1"/>
  <c r="AD72" i="13"/>
  <c r="AE72" i="13" s="1"/>
  <c r="Z72" i="13"/>
  <c r="AA72" i="13" s="1"/>
  <c r="V72" i="13"/>
  <c r="W72" i="13" s="1"/>
  <c r="R72" i="13"/>
  <c r="S72" i="13" s="1"/>
  <c r="AT71" i="13"/>
  <c r="AU71" i="13"/>
  <c r="M70" i="13" s="1"/>
  <c r="AP71" i="13"/>
  <c r="AL71" i="13"/>
  <c r="AH71" i="13"/>
  <c r="AI71" i="13" s="1"/>
  <c r="G70" i="13" s="1"/>
  <c r="AD71" i="13"/>
  <c r="AE71" i="13" s="1"/>
  <c r="Z71" i="13"/>
  <c r="AA71" i="13" s="1"/>
  <c r="V71" i="13"/>
  <c r="W71" i="13" s="1"/>
  <c r="R71" i="13"/>
  <c r="S71" i="13"/>
  <c r="AT70" i="13"/>
  <c r="AP70" i="13"/>
  <c r="AQ70" i="13" s="1"/>
  <c r="K69" i="13" s="1"/>
  <c r="AL70" i="13"/>
  <c r="AM70" i="13" s="1"/>
  <c r="AH70" i="13"/>
  <c r="AI70" i="13" s="1"/>
  <c r="G69" i="13" s="1"/>
  <c r="AD70" i="13"/>
  <c r="Z70" i="13"/>
  <c r="AA70" i="13" s="1"/>
  <c r="V70" i="13"/>
  <c r="W70" i="13" s="1"/>
  <c r="R70" i="13"/>
  <c r="S70" i="13" s="1"/>
  <c r="AT69" i="13"/>
  <c r="AP69" i="13"/>
  <c r="AL69" i="13"/>
  <c r="AM69" i="13" s="1"/>
  <c r="I68" i="13" s="1"/>
  <c r="AH69" i="13"/>
  <c r="AI69" i="13" s="1"/>
  <c r="G68" i="13" s="1"/>
  <c r="AD69" i="13"/>
  <c r="AE69" i="13" s="1"/>
  <c r="Z69" i="13"/>
  <c r="AA69" i="13" s="1"/>
  <c r="V69" i="13"/>
  <c r="W69" i="13" s="1"/>
  <c r="R69" i="13"/>
  <c r="S69" i="13" s="1"/>
  <c r="AT68" i="13"/>
  <c r="AU68" i="13" s="1"/>
  <c r="M67" i="13" s="1"/>
  <c r="AP68" i="13"/>
  <c r="AQ68" i="13" s="1"/>
  <c r="K67" i="13" s="1"/>
  <c r="AL68" i="13"/>
  <c r="AH68" i="13"/>
  <c r="AI68" i="13" s="1"/>
  <c r="G67" i="13" s="1"/>
  <c r="AD68" i="13"/>
  <c r="AE68" i="13" s="1"/>
  <c r="Z68" i="13"/>
  <c r="AA68" i="13"/>
  <c r="V68" i="13"/>
  <c r="W68" i="13" s="1"/>
  <c r="R68" i="13"/>
  <c r="S68" i="13" s="1"/>
  <c r="AT67" i="13"/>
  <c r="L66" i="13" s="1"/>
  <c r="AP67" i="13"/>
  <c r="J66" i="13" s="1"/>
  <c r="AQ67" i="13"/>
  <c r="K66" i="13" s="1"/>
  <c r="AL67" i="13"/>
  <c r="AM67" i="13" s="1"/>
  <c r="I66" i="13" s="1"/>
  <c r="AH67" i="13"/>
  <c r="AI67" i="13" s="1"/>
  <c r="G66" i="13" s="1"/>
  <c r="AD67" i="13"/>
  <c r="AE67" i="13" s="1"/>
  <c r="Z67" i="13"/>
  <c r="V67" i="13"/>
  <c r="W67" i="13"/>
  <c r="R67" i="13"/>
  <c r="S67" i="13" s="1"/>
  <c r="AT66" i="13"/>
  <c r="AU66" i="13" s="1"/>
  <c r="M65" i="13" s="1"/>
  <c r="AP66" i="13"/>
  <c r="AL66" i="13"/>
  <c r="AM66" i="13" s="1"/>
  <c r="I65" i="13" s="1"/>
  <c r="AH66" i="13"/>
  <c r="AI66" i="13"/>
  <c r="G65" i="13" s="1"/>
  <c r="AD66" i="13"/>
  <c r="AE66" i="13" s="1"/>
  <c r="Z66" i="13"/>
  <c r="AA66" i="13" s="1"/>
  <c r="V66" i="13"/>
  <c r="W66" i="13" s="1"/>
  <c r="R66" i="13"/>
  <c r="S66" i="13" s="1"/>
  <c r="AT65" i="13"/>
  <c r="AU65" i="13" s="1"/>
  <c r="M64" i="13" s="1"/>
  <c r="AP65" i="13"/>
  <c r="AL65" i="13"/>
  <c r="AM65" i="13" s="1"/>
  <c r="I64" i="13" s="1"/>
  <c r="AH65" i="13"/>
  <c r="F64" i="13" s="1"/>
  <c r="AI65" i="13"/>
  <c r="G64" i="13" s="1"/>
  <c r="AD65" i="13"/>
  <c r="AE65" i="13" s="1"/>
  <c r="Z65" i="13"/>
  <c r="AA65" i="13" s="1"/>
  <c r="V65" i="13"/>
  <c r="W65" i="13" s="1"/>
  <c r="R65" i="13"/>
  <c r="S65" i="13" s="1"/>
  <c r="AT64" i="13"/>
  <c r="AU64" i="13" s="1"/>
  <c r="M63" i="13" s="1"/>
  <c r="AP64" i="13"/>
  <c r="AQ64" i="13"/>
  <c r="K63" i="13" s="1"/>
  <c r="AL64" i="13"/>
  <c r="AH64" i="13"/>
  <c r="F63" i="13" s="1"/>
  <c r="AI64" i="13"/>
  <c r="G63" i="13" s="1"/>
  <c r="AD64" i="13"/>
  <c r="AE64" i="13" s="1"/>
  <c r="Z64" i="13"/>
  <c r="AA64" i="13" s="1"/>
  <c r="V64" i="13"/>
  <c r="W64" i="13" s="1"/>
  <c r="R64" i="13"/>
  <c r="S64" i="13" s="1"/>
  <c r="AT63" i="13"/>
  <c r="AP63" i="13"/>
  <c r="AQ63" i="13" s="1"/>
  <c r="K62" i="13" s="1"/>
  <c r="AL63" i="13"/>
  <c r="H62" i="13" s="1"/>
  <c r="AH63" i="13"/>
  <c r="AD63" i="13"/>
  <c r="AE63" i="13" s="1"/>
  <c r="Z63" i="13"/>
  <c r="AA63" i="13" s="1"/>
  <c r="V63" i="13"/>
  <c r="W63" i="13" s="1"/>
  <c r="R63" i="13"/>
  <c r="S63" i="13" s="1"/>
  <c r="AT62" i="13"/>
  <c r="AU62" i="13" s="1"/>
  <c r="M61" i="13" s="1"/>
  <c r="AP62" i="13"/>
  <c r="AL62" i="13"/>
  <c r="AH62" i="13"/>
  <c r="AD62" i="13"/>
  <c r="AE62" i="13" s="1"/>
  <c r="Z62" i="13"/>
  <c r="AA62" i="13" s="1"/>
  <c r="V62" i="13"/>
  <c r="W62" i="13" s="1"/>
  <c r="R62" i="13"/>
  <c r="S62" i="13"/>
  <c r="L61" i="13"/>
  <c r="AT57" i="13"/>
  <c r="AU57" i="13" s="1"/>
  <c r="AP57" i="13"/>
  <c r="AQ57" i="13" s="1"/>
  <c r="AL57" i="13"/>
  <c r="AM57" i="13" s="1"/>
  <c r="AH57" i="13"/>
  <c r="AI57" i="13" s="1"/>
  <c r="AD57" i="13"/>
  <c r="L56" i="13" s="1"/>
  <c r="Z57" i="13"/>
  <c r="J56" i="13" s="1"/>
  <c r="V57" i="13"/>
  <c r="R57" i="13"/>
  <c r="S57" i="13" s="1"/>
  <c r="AT56" i="13"/>
  <c r="AU56" i="13" s="1"/>
  <c r="AP56" i="13"/>
  <c r="AQ56" i="13" s="1"/>
  <c r="AL56" i="13"/>
  <c r="AM56" i="13" s="1"/>
  <c r="AH56" i="13"/>
  <c r="AI56" i="13" s="1"/>
  <c r="AD56" i="13"/>
  <c r="AE56" i="13" s="1"/>
  <c r="M55" i="13" s="1"/>
  <c r="Z56" i="13"/>
  <c r="AA56" i="13" s="1"/>
  <c r="K55" i="13" s="1"/>
  <c r="V56" i="13"/>
  <c r="R56" i="13"/>
  <c r="S56" i="13" s="1"/>
  <c r="F56" i="13"/>
  <c r="AT55" i="13"/>
  <c r="AU55" i="13" s="1"/>
  <c r="AP55" i="13"/>
  <c r="AQ55" i="13" s="1"/>
  <c r="AL55" i="13"/>
  <c r="AM55" i="13" s="1"/>
  <c r="AH55" i="13"/>
  <c r="AI55" i="13" s="1"/>
  <c r="AD55" i="13"/>
  <c r="L54" i="13" s="1"/>
  <c r="Z55" i="13"/>
  <c r="AA55" i="13" s="1"/>
  <c r="V55" i="13"/>
  <c r="R55" i="13"/>
  <c r="S55" i="13" s="1"/>
  <c r="G54" i="13" s="1"/>
  <c r="L55" i="13"/>
  <c r="AT54" i="13"/>
  <c r="AU54" i="13" s="1"/>
  <c r="AP54" i="13"/>
  <c r="AQ54" i="13" s="1"/>
  <c r="AL54" i="13"/>
  <c r="AM54" i="13"/>
  <c r="AH54" i="13"/>
  <c r="AD54" i="13"/>
  <c r="L53" i="13" s="1"/>
  <c r="AE54" i="13"/>
  <c r="M53" i="13" s="1"/>
  <c r="Z54" i="13"/>
  <c r="J53" i="13" s="1"/>
  <c r="AA54" i="13"/>
  <c r="K53" i="13" s="1"/>
  <c r="V54" i="13"/>
  <c r="R54" i="13"/>
  <c r="AT53" i="13"/>
  <c r="AU53" i="13"/>
  <c r="AP53" i="13"/>
  <c r="AQ53" i="13" s="1"/>
  <c r="AL53" i="13"/>
  <c r="AM53" i="13" s="1"/>
  <c r="AH53" i="13"/>
  <c r="AI53" i="13"/>
  <c r="AD53" i="13"/>
  <c r="L52" i="13" s="1"/>
  <c r="AE53" i="13"/>
  <c r="M52" i="13" s="1"/>
  <c r="Z53" i="13"/>
  <c r="V53" i="13"/>
  <c r="W53" i="13" s="1"/>
  <c r="I52" i="13" s="1"/>
  <c r="R53" i="13"/>
  <c r="AT52" i="13"/>
  <c r="AU52" i="13" s="1"/>
  <c r="AP52" i="13"/>
  <c r="AQ52" i="13" s="1"/>
  <c r="AL52" i="13"/>
  <c r="AM52" i="13" s="1"/>
  <c r="AH52" i="13"/>
  <c r="AI52" i="13" s="1"/>
  <c r="AD52" i="13"/>
  <c r="AE52" i="13" s="1"/>
  <c r="M51" i="13" s="1"/>
  <c r="Z52" i="13"/>
  <c r="AA52" i="13" s="1"/>
  <c r="V52" i="13"/>
  <c r="W52" i="13" s="1"/>
  <c r="I51" i="13" s="1"/>
  <c r="R52" i="13"/>
  <c r="S52" i="13"/>
  <c r="AT51" i="13"/>
  <c r="AU51" i="13" s="1"/>
  <c r="AP51" i="13"/>
  <c r="AQ51" i="13" s="1"/>
  <c r="AL51" i="13"/>
  <c r="AH51" i="13"/>
  <c r="AI51" i="13" s="1"/>
  <c r="AD51" i="13"/>
  <c r="AE51" i="13" s="1"/>
  <c r="M50" i="13" s="1"/>
  <c r="Z51" i="13"/>
  <c r="AA51" i="13" s="1"/>
  <c r="K50" i="13" s="1"/>
  <c r="V51" i="13"/>
  <c r="W51" i="13" s="1"/>
  <c r="R51" i="13"/>
  <c r="S51" i="13" s="1"/>
  <c r="AT50" i="13"/>
  <c r="AU50" i="13"/>
  <c r="AP50" i="13"/>
  <c r="AQ50" i="13" s="1"/>
  <c r="AL50" i="13"/>
  <c r="AM50" i="13" s="1"/>
  <c r="AH50" i="13"/>
  <c r="AI50" i="13" s="1"/>
  <c r="AD50" i="13"/>
  <c r="L49" i="13" s="1"/>
  <c r="Z50" i="13"/>
  <c r="J49" i="13" s="1"/>
  <c r="V50" i="13"/>
  <c r="W50" i="13"/>
  <c r="I49" i="13" s="1"/>
  <c r="R50" i="13"/>
  <c r="S50" i="13" s="1"/>
  <c r="G49" i="13" s="1"/>
  <c r="AT49" i="13"/>
  <c r="AU49" i="13"/>
  <c r="AP49" i="13"/>
  <c r="AQ49" i="13" s="1"/>
  <c r="AL49" i="13"/>
  <c r="AM49" i="13" s="1"/>
  <c r="AH49" i="13"/>
  <c r="AI49" i="13"/>
  <c r="AD49" i="13"/>
  <c r="AE49" i="13" s="1"/>
  <c r="Z49" i="13"/>
  <c r="AA49" i="13"/>
  <c r="K48" i="13" s="1"/>
  <c r="V49" i="13"/>
  <c r="R49" i="13"/>
  <c r="S49" i="13" s="1"/>
  <c r="G48" i="13" s="1"/>
  <c r="AT48" i="13"/>
  <c r="AU48" i="13" s="1"/>
  <c r="AP48" i="13"/>
  <c r="AQ48" i="13" s="1"/>
  <c r="AL48" i="13"/>
  <c r="AM48" i="13" s="1"/>
  <c r="AH48" i="13"/>
  <c r="AI48" i="13" s="1"/>
  <c r="AD48" i="13"/>
  <c r="L47" i="13" s="1"/>
  <c r="Z48" i="13"/>
  <c r="V48" i="13"/>
  <c r="W48" i="13" s="1"/>
  <c r="I47" i="13" s="1"/>
  <c r="R48" i="13"/>
  <c r="S48" i="13" s="1"/>
  <c r="G47" i="13" s="1"/>
  <c r="AT47" i="13"/>
  <c r="AU47" i="13" s="1"/>
  <c r="AP47" i="13"/>
  <c r="AQ47" i="13" s="1"/>
  <c r="AL47" i="13"/>
  <c r="AM47" i="13" s="1"/>
  <c r="AH47" i="13"/>
  <c r="AI47" i="13" s="1"/>
  <c r="AD47" i="13"/>
  <c r="L46" i="13" s="1"/>
  <c r="AE47" i="13"/>
  <c r="M46" i="13" s="1"/>
  <c r="Z47" i="13"/>
  <c r="V47" i="13"/>
  <c r="W47" i="13" s="1"/>
  <c r="I46" i="13" s="1"/>
  <c r="R47" i="13"/>
  <c r="S47" i="13" s="1"/>
  <c r="G46" i="13" s="1"/>
  <c r="AT46" i="13"/>
  <c r="AU46" i="13" s="1"/>
  <c r="AP46" i="13"/>
  <c r="AQ46" i="13" s="1"/>
  <c r="AL46" i="13"/>
  <c r="AM46" i="13" s="1"/>
  <c r="AH46" i="13"/>
  <c r="AI46" i="13" s="1"/>
  <c r="AD46" i="13"/>
  <c r="AE46" i="13" s="1"/>
  <c r="M45" i="13" s="1"/>
  <c r="Z46" i="13"/>
  <c r="AA46" i="13" s="1"/>
  <c r="V46" i="13"/>
  <c r="W46" i="13" s="1"/>
  <c r="R46" i="13"/>
  <c r="S46" i="13" s="1"/>
  <c r="G45" i="13" s="1"/>
  <c r="AT45" i="13"/>
  <c r="AU45" i="13" s="1"/>
  <c r="AP45" i="13"/>
  <c r="AQ45" i="13" s="1"/>
  <c r="AL45" i="13"/>
  <c r="AM45" i="13" s="1"/>
  <c r="AH45" i="13"/>
  <c r="AI45" i="13" s="1"/>
  <c r="AD45" i="13"/>
  <c r="AE45" i="13" s="1"/>
  <c r="M44" i="13" s="1"/>
  <c r="Z45" i="13"/>
  <c r="AA45" i="13" s="1"/>
  <c r="K44" i="13" s="1"/>
  <c r="V45" i="13"/>
  <c r="W45" i="13" s="1"/>
  <c r="I44" i="13" s="1"/>
  <c r="R45" i="13"/>
  <c r="S45" i="13" s="1"/>
  <c r="G44" i="13" s="1"/>
  <c r="AT44" i="13"/>
  <c r="AU44" i="13" s="1"/>
  <c r="AP44" i="13"/>
  <c r="AQ44" i="13" s="1"/>
  <c r="AL44" i="13"/>
  <c r="AM44" i="13" s="1"/>
  <c r="AH44" i="13"/>
  <c r="AI44" i="13"/>
  <c r="AD44" i="13"/>
  <c r="L43" i="13" s="1"/>
  <c r="Z44" i="13"/>
  <c r="V44" i="13"/>
  <c r="R44" i="13"/>
  <c r="F43" i="13" s="1"/>
  <c r="AT43" i="13"/>
  <c r="AU43" i="13" s="1"/>
  <c r="AP43" i="13"/>
  <c r="AQ43" i="13" s="1"/>
  <c r="AL43" i="13"/>
  <c r="AM43" i="13" s="1"/>
  <c r="AH43" i="13"/>
  <c r="AI43" i="13" s="1"/>
  <c r="AD43" i="13"/>
  <c r="AE43" i="13" s="1"/>
  <c r="M42" i="13" s="1"/>
  <c r="Z43" i="13"/>
  <c r="J42" i="13"/>
  <c r="V43" i="13"/>
  <c r="W43" i="13"/>
  <c r="I42" i="13" s="1"/>
  <c r="R43" i="13"/>
  <c r="AT38" i="13"/>
  <c r="L37" i="13" s="1"/>
  <c r="AP38" i="13"/>
  <c r="J37" i="13" s="1"/>
  <c r="AL38" i="13"/>
  <c r="AM38" i="13" s="1"/>
  <c r="I37" i="13" s="1"/>
  <c r="AH38" i="13"/>
  <c r="AI38" i="13" s="1"/>
  <c r="AD38" i="13"/>
  <c r="AE38" i="13" s="1"/>
  <c r="Z38" i="13"/>
  <c r="AA38" i="13" s="1"/>
  <c r="V38" i="13"/>
  <c r="W38" i="13" s="1"/>
  <c r="R38" i="13"/>
  <c r="S38" i="13" s="1"/>
  <c r="AT37" i="13"/>
  <c r="L36" i="13" s="1"/>
  <c r="AP37" i="13"/>
  <c r="J36" i="13" s="1"/>
  <c r="AQ37" i="13"/>
  <c r="K36" i="13" s="1"/>
  <c r="AL37" i="13"/>
  <c r="H36" i="13" s="1"/>
  <c r="AH37" i="13"/>
  <c r="AI37" i="13" s="1"/>
  <c r="G36" i="13" s="1"/>
  <c r="AD37" i="13"/>
  <c r="AE37" i="13" s="1"/>
  <c r="Z37" i="13"/>
  <c r="AA37" i="13" s="1"/>
  <c r="V37" i="13"/>
  <c r="W37" i="13" s="1"/>
  <c r="R37" i="13"/>
  <c r="S37" i="13" s="1"/>
  <c r="AT36" i="13"/>
  <c r="AU36" i="13" s="1"/>
  <c r="M35" i="13" s="1"/>
  <c r="AP36" i="13"/>
  <c r="AL36" i="13"/>
  <c r="AM36" i="13" s="1"/>
  <c r="I35" i="13" s="1"/>
  <c r="AH36" i="13"/>
  <c r="AD36" i="13"/>
  <c r="AE36" i="13" s="1"/>
  <c r="Z36" i="13"/>
  <c r="AA36" i="13" s="1"/>
  <c r="V36" i="13"/>
  <c r="W36" i="13" s="1"/>
  <c r="R36" i="13"/>
  <c r="S36" i="13" s="1"/>
  <c r="AT35" i="13"/>
  <c r="AU35" i="13" s="1"/>
  <c r="M34" i="13" s="1"/>
  <c r="AP35" i="13"/>
  <c r="AQ35" i="13" s="1"/>
  <c r="K34" i="13" s="1"/>
  <c r="AL35" i="13"/>
  <c r="AM35" i="13" s="1"/>
  <c r="I34" i="13" s="1"/>
  <c r="AH35" i="13"/>
  <c r="AI35" i="13"/>
  <c r="G34" i="13" s="1"/>
  <c r="AD35" i="13"/>
  <c r="AE35" i="13"/>
  <c r="Z35" i="13"/>
  <c r="AA35" i="13" s="1"/>
  <c r="V35" i="13"/>
  <c r="W35" i="13" s="1"/>
  <c r="R35" i="13"/>
  <c r="S35" i="13" s="1"/>
  <c r="AT34" i="13"/>
  <c r="AP34" i="13"/>
  <c r="AQ34" i="13" s="1"/>
  <c r="AL34" i="13"/>
  <c r="AM34" i="13" s="1"/>
  <c r="I33" i="13" s="1"/>
  <c r="AH34" i="13"/>
  <c r="AI34" i="13" s="1"/>
  <c r="G33" i="13" s="1"/>
  <c r="AD34" i="13"/>
  <c r="AE34" i="13"/>
  <c r="Z34" i="13"/>
  <c r="AA34" i="13" s="1"/>
  <c r="V34" i="13"/>
  <c r="W34" i="13"/>
  <c r="R34" i="13"/>
  <c r="S34" i="13"/>
  <c r="AT33" i="13"/>
  <c r="AU33" i="13" s="1"/>
  <c r="M32" i="13" s="1"/>
  <c r="AP33" i="13"/>
  <c r="J32" i="13" s="1"/>
  <c r="AQ33" i="13"/>
  <c r="K32" i="13" s="1"/>
  <c r="AL33" i="13"/>
  <c r="AH33" i="13"/>
  <c r="AD33" i="13"/>
  <c r="AE33" i="13" s="1"/>
  <c r="Z33" i="13"/>
  <c r="AA33" i="13" s="1"/>
  <c r="V33" i="13"/>
  <c r="W33" i="13"/>
  <c r="R33" i="13"/>
  <c r="S33" i="13" s="1"/>
  <c r="AT32" i="13"/>
  <c r="AU32" i="13" s="1"/>
  <c r="M31" i="13" s="1"/>
  <c r="AP32" i="13"/>
  <c r="AQ32" i="13" s="1"/>
  <c r="K31" i="13" s="1"/>
  <c r="AL32" i="13"/>
  <c r="AH32" i="13"/>
  <c r="AD32" i="13"/>
  <c r="Z32" i="13"/>
  <c r="AA32" i="13"/>
  <c r="V32" i="13"/>
  <c r="R32" i="13"/>
  <c r="S32" i="13" s="1"/>
  <c r="AT31" i="13"/>
  <c r="L30" i="13" s="1"/>
  <c r="AP31" i="13"/>
  <c r="J30" i="13" s="1"/>
  <c r="AL31" i="13"/>
  <c r="AM31" i="13" s="1"/>
  <c r="I30" i="13" s="1"/>
  <c r="AH31" i="13"/>
  <c r="AD31" i="13"/>
  <c r="AE31" i="13" s="1"/>
  <c r="Z31" i="13"/>
  <c r="AA31" i="13" s="1"/>
  <c r="V31" i="13"/>
  <c r="W31" i="13" s="1"/>
  <c r="R31" i="13"/>
  <c r="S31" i="13" s="1"/>
  <c r="AT30" i="13"/>
  <c r="AP30" i="13"/>
  <c r="AQ30" i="13" s="1"/>
  <c r="K29" i="13" s="1"/>
  <c r="AL30" i="13"/>
  <c r="H29" i="13" s="1"/>
  <c r="AH30" i="13"/>
  <c r="AI30" i="13" s="1"/>
  <c r="G29" i="13" s="1"/>
  <c r="AD30" i="13"/>
  <c r="AE30" i="13"/>
  <c r="Z30" i="13"/>
  <c r="AA30" i="13"/>
  <c r="V30" i="13"/>
  <c r="W30" i="13" s="1"/>
  <c r="R30" i="13"/>
  <c r="S30" i="13" s="1"/>
  <c r="AT29" i="13"/>
  <c r="AP29" i="13"/>
  <c r="AQ29" i="13" s="1"/>
  <c r="AL29" i="13"/>
  <c r="H28" i="13" s="1"/>
  <c r="AH29" i="13"/>
  <c r="AI29" i="13" s="1"/>
  <c r="G28" i="13" s="1"/>
  <c r="AD29" i="13"/>
  <c r="AE29" i="13" s="1"/>
  <c r="Z29" i="13"/>
  <c r="AA29" i="13" s="1"/>
  <c r="V29" i="13"/>
  <c r="W29" i="13"/>
  <c r="R29" i="13"/>
  <c r="S29" i="13" s="1"/>
  <c r="AT28" i="13"/>
  <c r="AP28" i="13"/>
  <c r="J27" i="13" s="1"/>
  <c r="AL28" i="13"/>
  <c r="AM28" i="13" s="1"/>
  <c r="I27" i="13" s="1"/>
  <c r="AH28" i="13"/>
  <c r="AI28" i="13" s="1"/>
  <c r="G27" i="13" s="1"/>
  <c r="AD28" i="13"/>
  <c r="AE28" i="13" s="1"/>
  <c r="Z28" i="13"/>
  <c r="AA28" i="13" s="1"/>
  <c r="V28" i="13"/>
  <c r="W28" i="13" s="1"/>
  <c r="R28" i="13"/>
  <c r="S28" i="13" s="1"/>
  <c r="AT27" i="13"/>
  <c r="AU27" i="13" s="1"/>
  <c r="M26" i="13" s="1"/>
  <c r="AP27" i="13"/>
  <c r="J26" i="13" s="1"/>
  <c r="AQ27" i="13"/>
  <c r="K26" i="13" s="1"/>
  <c r="AL27" i="13"/>
  <c r="H26" i="13" s="1"/>
  <c r="AH27" i="13"/>
  <c r="AI27" i="13" s="1"/>
  <c r="G26" i="13" s="1"/>
  <c r="AD27" i="13"/>
  <c r="AE27" i="13" s="1"/>
  <c r="Z27" i="13"/>
  <c r="AA27" i="13" s="1"/>
  <c r="V27" i="13"/>
  <c r="W27" i="13"/>
  <c r="R27" i="13"/>
  <c r="S27" i="13" s="1"/>
  <c r="AT26" i="13"/>
  <c r="AU26" i="13" s="1"/>
  <c r="AP26" i="13"/>
  <c r="AQ26" i="13" s="1"/>
  <c r="AL26" i="13"/>
  <c r="AH26" i="13"/>
  <c r="F25" i="13" s="1"/>
  <c r="AI26" i="13"/>
  <c r="G25" i="13" s="1"/>
  <c r="AD26" i="13"/>
  <c r="Z26" i="13"/>
  <c r="AA26" i="13" s="1"/>
  <c r="K25" i="13"/>
  <c r="V26" i="13"/>
  <c r="R26" i="13"/>
  <c r="S26" i="13" s="1"/>
  <c r="AT25" i="13"/>
  <c r="AU25" i="13" s="1"/>
  <c r="M24" i="13"/>
  <c r="AP25" i="13"/>
  <c r="AQ25" i="13" s="1"/>
  <c r="K24" i="13" s="1"/>
  <c r="AL25" i="13"/>
  <c r="AM25" i="13" s="1"/>
  <c r="I24" i="13" s="1"/>
  <c r="AH25" i="13"/>
  <c r="AI25" i="13" s="1"/>
  <c r="G24" i="13" s="1"/>
  <c r="F24" i="13"/>
  <c r="AD25" i="13"/>
  <c r="AE25" i="13" s="1"/>
  <c r="Z25" i="13"/>
  <c r="AA25" i="13" s="1"/>
  <c r="V25" i="13"/>
  <c r="W25" i="13" s="1"/>
  <c r="R25" i="13"/>
  <c r="S25" i="13" s="1"/>
  <c r="AT24" i="13"/>
  <c r="AU24" i="13" s="1"/>
  <c r="M23" i="13" s="1"/>
  <c r="AP24" i="13"/>
  <c r="J23" i="13" s="1"/>
  <c r="AL24" i="13"/>
  <c r="AM24" i="13" s="1"/>
  <c r="I23" i="13" s="1"/>
  <c r="AH24" i="13"/>
  <c r="AI24" i="13" s="1"/>
  <c r="G23" i="13" s="1"/>
  <c r="AD24" i="13"/>
  <c r="AE24" i="13" s="1"/>
  <c r="Z24" i="13"/>
  <c r="AA24" i="13" s="1"/>
  <c r="V24" i="13"/>
  <c r="W24" i="13" s="1"/>
  <c r="R24" i="13"/>
  <c r="S24" i="13" s="1"/>
  <c r="AT19" i="13"/>
  <c r="AU19" i="13" s="1"/>
  <c r="AP19" i="13"/>
  <c r="AQ19" i="13" s="1"/>
  <c r="AL19" i="13"/>
  <c r="AM19" i="13" s="1"/>
  <c r="AH19" i="13"/>
  <c r="AI19" i="13" s="1"/>
  <c r="AD19" i="13"/>
  <c r="AE19" i="13" s="1"/>
  <c r="M18" i="13" s="1"/>
  <c r="Z19" i="13"/>
  <c r="AA19" i="13" s="1"/>
  <c r="K18" i="13" s="1"/>
  <c r="V19" i="13"/>
  <c r="W19" i="13" s="1"/>
  <c r="I18" i="13"/>
  <c r="R19" i="13"/>
  <c r="S19" i="13" s="1"/>
  <c r="G18" i="13" s="1"/>
  <c r="AT18" i="13"/>
  <c r="AU18" i="13" s="1"/>
  <c r="AP18" i="13"/>
  <c r="AQ18" i="13"/>
  <c r="AL18" i="13"/>
  <c r="AM18" i="13" s="1"/>
  <c r="AH18" i="13"/>
  <c r="AI18" i="13" s="1"/>
  <c r="AD18" i="13"/>
  <c r="AE18" i="13" s="1"/>
  <c r="M17" i="13" s="1"/>
  <c r="Z18" i="13"/>
  <c r="J17" i="13" s="1"/>
  <c r="V18" i="13"/>
  <c r="W18" i="13" s="1"/>
  <c r="I17" i="13" s="1"/>
  <c r="R18" i="13"/>
  <c r="S18" i="13" s="1"/>
  <c r="G17" i="13" s="1"/>
  <c r="AT17" i="13"/>
  <c r="AU17" i="13"/>
  <c r="AP17" i="13"/>
  <c r="AQ17" i="13" s="1"/>
  <c r="AL17" i="13"/>
  <c r="AM17" i="13" s="1"/>
  <c r="AH17" i="13"/>
  <c r="AI17" i="13" s="1"/>
  <c r="AD17" i="13"/>
  <c r="Z17" i="13"/>
  <c r="AA17" i="13" s="1"/>
  <c r="K16" i="13" s="1"/>
  <c r="V17" i="13"/>
  <c r="W17" i="13" s="1"/>
  <c r="I16" i="13" s="1"/>
  <c r="R17" i="13"/>
  <c r="AT16" i="13"/>
  <c r="AU16" i="13" s="1"/>
  <c r="AP16" i="13"/>
  <c r="AQ16" i="13" s="1"/>
  <c r="AL16" i="13"/>
  <c r="AM16" i="13" s="1"/>
  <c r="AH16" i="13"/>
  <c r="AI16" i="13" s="1"/>
  <c r="AD16" i="13"/>
  <c r="L15" i="13" s="1"/>
  <c r="Z16" i="13"/>
  <c r="V16" i="13"/>
  <c r="W16" i="13" s="1"/>
  <c r="I15" i="13"/>
  <c r="R16" i="13"/>
  <c r="S16" i="13"/>
  <c r="G15" i="13" s="1"/>
  <c r="AT15" i="13"/>
  <c r="AU15" i="13" s="1"/>
  <c r="AP15" i="13"/>
  <c r="AQ15" i="13" s="1"/>
  <c r="AL15" i="13"/>
  <c r="AM15" i="13" s="1"/>
  <c r="AH15" i="13"/>
  <c r="AI15" i="13" s="1"/>
  <c r="AD15" i="13"/>
  <c r="AE15" i="13" s="1"/>
  <c r="M14" i="13"/>
  <c r="Z15" i="13"/>
  <c r="AA15" i="13"/>
  <c r="K14" i="13" s="1"/>
  <c r="V15" i="13"/>
  <c r="W15" i="13" s="1"/>
  <c r="I14" i="13" s="1"/>
  <c r="R15" i="13"/>
  <c r="S15" i="13" s="1"/>
  <c r="G14" i="13" s="1"/>
  <c r="AT14" i="13"/>
  <c r="AU14" i="13" s="1"/>
  <c r="AP14" i="13"/>
  <c r="AQ14" i="13" s="1"/>
  <c r="AL14" i="13"/>
  <c r="AM14" i="13" s="1"/>
  <c r="AH14" i="13"/>
  <c r="AI14" i="13" s="1"/>
  <c r="AD14" i="13"/>
  <c r="Z14" i="13"/>
  <c r="AA14" i="13" s="1"/>
  <c r="K13" i="13" s="1"/>
  <c r="V14" i="13"/>
  <c r="W14" i="13" s="1"/>
  <c r="I13" i="13" s="1"/>
  <c r="R14" i="13"/>
  <c r="S14" i="13"/>
  <c r="G13" i="13" s="1"/>
  <c r="AT13" i="13"/>
  <c r="AU13" i="13" s="1"/>
  <c r="AP13" i="13"/>
  <c r="AQ13" i="13"/>
  <c r="AL13" i="13"/>
  <c r="AM13" i="13" s="1"/>
  <c r="AH13" i="13"/>
  <c r="AI13" i="13" s="1"/>
  <c r="AD13" i="13"/>
  <c r="Z13" i="13"/>
  <c r="AA13" i="13" s="1"/>
  <c r="K12" i="13" s="1"/>
  <c r="V13" i="13"/>
  <c r="R13" i="13"/>
  <c r="S13" i="13" s="1"/>
  <c r="G12" i="13" s="1"/>
  <c r="AT12" i="13"/>
  <c r="AU12" i="13" s="1"/>
  <c r="AP12" i="13"/>
  <c r="AQ12" i="13" s="1"/>
  <c r="AL12" i="13"/>
  <c r="AM12" i="13" s="1"/>
  <c r="AH12" i="13"/>
  <c r="AI12" i="13" s="1"/>
  <c r="AD12" i="13"/>
  <c r="Z12" i="13"/>
  <c r="AA12" i="13" s="1"/>
  <c r="K11" i="13" s="1"/>
  <c r="V12" i="13"/>
  <c r="W12" i="13" s="1"/>
  <c r="I11" i="13" s="1"/>
  <c r="R12" i="13"/>
  <c r="S12" i="13" s="1"/>
  <c r="G11" i="13" s="1"/>
  <c r="AT11" i="13"/>
  <c r="AU11" i="13" s="1"/>
  <c r="AP11" i="13"/>
  <c r="AQ11" i="13" s="1"/>
  <c r="AL11" i="13"/>
  <c r="AM11" i="13" s="1"/>
  <c r="AH11" i="13"/>
  <c r="AI11" i="13" s="1"/>
  <c r="AD11" i="13"/>
  <c r="AE11" i="13" s="1"/>
  <c r="M10" i="13"/>
  <c r="Z11" i="13"/>
  <c r="AA11" i="13" s="1"/>
  <c r="K10" i="13" s="1"/>
  <c r="V11" i="13"/>
  <c r="R11" i="13"/>
  <c r="S11" i="13" s="1"/>
  <c r="G10" i="13" s="1"/>
  <c r="AT10" i="13"/>
  <c r="AU10" i="13" s="1"/>
  <c r="AP10" i="13"/>
  <c r="AQ10" i="13" s="1"/>
  <c r="AL10" i="13"/>
  <c r="AM10" i="13" s="1"/>
  <c r="AH10" i="13"/>
  <c r="AI10" i="13" s="1"/>
  <c r="AD10" i="13"/>
  <c r="Z10" i="13"/>
  <c r="AA10" i="13" s="1"/>
  <c r="K9" i="13" s="1"/>
  <c r="V10" i="13"/>
  <c r="W10" i="13" s="1"/>
  <c r="I9" i="13"/>
  <c r="R10" i="13"/>
  <c r="F9" i="13" s="1"/>
  <c r="S10" i="13"/>
  <c r="G9" i="13" s="1"/>
  <c r="AT9" i="13"/>
  <c r="AU9" i="13" s="1"/>
  <c r="AP9" i="13"/>
  <c r="AQ9" i="13" s="1"/>
  <c r="AL9" i="13"/>
  <c r="AM9" i="13" s="1"/>
  <c r="AH9" i="13"/>
  <c r="AI9" i="13" s="1"/>
  <c r="AD9" i="13"/>
  <c r="AE9" i="13" s="1"/>
  <c r="M8" i="13" s="1"/>
  <c r="Z9" i="13"/>
  <c r="AA9" i="13" s="1"/>
  <c r="K8" i="13" s="1"/>
  <c r="V9" i="13"/>
  <c r="W9" i="13" s="1"/>
  <c r="I8" i="13" s="1"/>
  <c r="R9" i="13"/>
  <c r="F8" i="13" s="1"/>
  <c r="AT8" i="13"/>
  <c r="AU8" i="13" s="1"/>
  <c r="AP8" i="13"/>
  <c r="AQ8" i="13" s="1"/>
  <c r="AL8" i="13"/>
  <c r="AM8" i="13" s="1"/>
  <c r="AH8" i="13"/>
  <c r="AI8" i="13" s="1"/>
  <c r="AD8" i="13"/>
  <c r="Z8" i="13"/>
  <c r="AA8" i="13" s="1"/>
  <c r="K7" i="13" s="1"/>
  <c r="V8" i="13"/>
  <c r="R8" i="13"/>
  <c r="S8" i="13"/>
  <c r="G7" i="13" s="1"/>
  <c r="AT7" i="13"/>
  <c r="AU7" i="13" s="1"/>
  <c r="AP7" i="13"/>
  <c r="AQ7" i="13" s="1"/>
  <c r="AL7" i="13"/>
  <c r="AM7" i="13" s="1"/>
  <c r="AH7" i="13"/>
  <c r="AI7" i="13" s="1"/>
  <c r="AD7" i="13"/>
  <c r="Z7" i="13"/>
  <c r="V7" i="13"/>
  <c r="H6" i="13" s="1"/>
  <c r="R7" i="13"/>
  <c r="AT6" i="13"/>
  <c r="AU6" i="13" s="1"/>
  <c r="AP6" i="13"/>
  <c r="AQ6" i="13" s="1"/>
  <c r="AL6" i="13"/>
  <c r="AM6" i="13" s="1"/>
  <c r="AH6" i="13"/>
  <c r="AI6" i="13" s="1"/>
  <c r="AD6" i="13"/>
  <c r="AE6" i="13" s="1"/>
  <c r="Z6" i="13"/>
  <c r="AA6" i="13" s="1"/>
  <c r="K5" i="13" s="1"/>
  <c r="V6" i="13"/>
  <c r="H5" i="13" s="1"/>
  <c r="W6" i="13"/>
  <c r="I5" i="13" s="1"/>
  <c r="R6" i="13"/>
  <c r="S6" i="13" s="1"/>
  <c r="G5" i="13" s="1"/>
  <c r="AT5" i="13"/>
  <c r="AU5" i="13"/>
  <c r="AP5" i="13"/>
  <c r="AQ5" i="13" s="1"/>
  <c r="AL5" i="13"/>
  <c r="AM5" i="13" s="1"/>
  <c r="AH5" i="13"/>
  <c r="AI5" i="13" s="1"/>
  <c r="AD5" i="13"/>
  <c r="L4" i="13" s="1"/>
  <c r="Z5" i="13"/>
  <c r="J4" i="13" s="1"/>
  <c r="V5" i="13"/>
  <c r="W5" i="13" s="1"/>
  <c r="I4" i="13" s="1"/>
  <c r="R5" i="13"/>
  <c r="S5" i="13" s="1"/>
  <c r="G4" i="13"/>
  <c r="H283" i="13"/>
  <c r="F298" i="13"/>
  <c r="H264" i="13"/>
  <c r="F339" i="13"/>
  <c r="F203" i="13"/>
  <c r="H203" i="13"/>
  <c r="F204" i="13"/>
  <c r="F130" i="13"/>
  <c r="AA277" i="13"/>
  <c r="K276" i="13"/>
  <c r="J276" i="13"/>
  <c r="AA283" i="13"/>
  <c r="K282" i="13"/>
  <c r="AA284" i="13"/>
  <c r="K283" i="13" s="1"/>
  <c r="J283" i="13"/>
  <c r="AU304" i="13"/>
  <c r="M303" i="13" s="1"/>
  <c r="G55" i="13"/>
  <c r="F55" i="13"/>
  <c r="AI75" i="13"/>
  <c r="G74" i="13" s="1"/>
  <c r="AE280" i="13"/>
  <c r="M279" i="13" s="1"/>
  <c r="L279" i="13"/>
  <c r="M282" i="13"/>
  <c r="L282" i="13"/>
  <c r="AE284" i="13"/>
  <c r="M283" i="13" s="1"/>
  <c r="L283" i="13"/>
  <c r="L300" i="13"/>
  <c r="AI74" i="13"/>
  <c r="G73" i="13" s="1"/>
  <c r="F73" i="13"/>
  <c r="AU112" i="13"/>
  <c r="M111" i="13" s="1"/>
  <c r="L111" i="13"/>
  <c r="AA131" i="13"/>
  <c r="H296" i="13"/>
  <c r="AQ300" i="13"/>
  <c r="J299" i="13"/>
  <c r="J71" i="13"/>
  <c r="AE131" i="13"/>
  <c r="M130" i="13" s="1"/>
  <c r="H220" i="13"/>
  <c r="M222" i="13"/>
  <c r="AE276" i="13"/>
  <c r="M275" i="13" s="1"/>
  <c r="L275" i="13"/>
  <c r="F332" i="13"/>
  <c r="AI152" i="13"/>
  <c r="G151" i="13" s="1"/>
  <c r="F151" i="13"/>
  <c r="M180" i="13"/>
  <c r="H183" i="13"/>
  <c r="AA245" i="13"/>
  <c r="K244" i="13" s="1"/>
  <c r="J244" i="13"/>
  <c r="AM261" i="13"/>
  <c r="I260" i="13" s="1"/>
  <c r="AA278" i="13"/>
  <c r="K277" i="13" s="1"/>
  <c r="J277" i="13"/>
  <c r="H289" i="13"/>
  <c r="AM291" i="13"/>
  <c r="I290" i="13" s="1"/>
  <c r="H290" i="13"/>
  <c r="L295" i="13"/>
  <c r="J301" i="13"/>
  <c r="J311" i="13"/>
  <c r="AA316" i="13"/>
  <c r="K315" i="13" s="1"/>
  <c r="J315" i="13"/>
  <c r="F336" i="13"/>
  <c r="L337" i="13"/>
  <c r="H341" i="13"/>
  <c r="AU188" i="13"/>
  <c r="M187" i="13" s="1"/>
  <c r="L187" i="13"/>
  <c r="AI226" i="13"/>
  <c r="F225" i="13"/>
  <c r="W234" i="13"/>
  <c r="I233" i="13" s="1"/>
  <c r="H233" i="13"/>
  <c r="W274" i="13"/>
  <c r="I273" i="13" s="1"/>
  <c r="H273" i="13"/>
  <c r="AA280" i="13"/>
  <c r="K279" i="13" s="1"/>
  <c r="J279" i="13"/>
  <c r="AQ336" i="13"/>
  <c r="K335" i="13" s="1"/>
  <c r="J335" i="13"/>
  <c r="AU113" i="13"/>
  <c r="M112" i="13" s="1"/>
  <c r="L112" i="13"/>
  <c r="AU152" i="13"/>
  <c r="M151" i="13" s="1"/>
  <c r="L151" i="13"/>
  <c r="AU190" i="13"/>
  <c r="M189" i="13" s="1"/>
  <c r="L189" i="13"/>
  <c r="AM226" i="13"/>
  <c r="I225" i="13" s="1"/>
  <c r="AU228" i="13"/>
  <c r="M227" i="13" s="1"/>
  <c r="L227" i="13"/>
  <c r="G225" i="13"/>
  <c r="AU266" i="13"/>
  <c r="M265" i="13" s="1"/>
  <c r="L265" i="13"/>
  <c r="AA282" i="13"/>
  <c r="K281" i="13" s="1"/>
  <c r="J281" i="13"/>
  <c r="H297" i="13"/>
  <c r="AU340" i="13"/>
  <c r="M339" i="13" s="1"/>
  <c r="L339" i="13"/>
  <c r="L341" i="13"/>
  <c r="AM182" i="13"/>
  <c r="I181" i="13" s="1"/>
  <c r="H181" i="13"/>
  <c r="AE279" i="13"/>
  <c r="M278" i="13" s="1"/>
  <c r="AE282" i="13"/>
  <c r="M281" i="13" s="1"/>
  <c r="H299" i="13"/>
  <c r="AE130" i="13"/>
  <c r="M129" i="13" s="1"/>
  <c r="H131" i="13"/>
  <c r="H175" i="13"/>
  <c r="L188" i="13"/>
  <c r="W243" i="13"/>
  <c r="I242" i="13" s="1"/>
  <c r="H242" i="13"/>
  <c r="L260" i="13"/>
  <c r="AU263" i="13"/>
  <c r="M262" i="13" s="1"/>
  <c r="L262" i="13"/>
  <c r="AQ265" i="13"/>
  <c r="K264" i="13" s="1"/>
  <c r="J264" i="13"/>
  <c r="AE278" i="13"/>
  <c r="M277" i="13" s="1"/>
  <c r="L277" i="13"/>
  <c r="AE281" i="13"/>
  <c r="M280" i="13" s="1"/>
  <c r="L280" i="13"/>
  <c r="L291" i="13"/>
  <c r="G292" i="13"/>
  <c r="F294" i="13"/>
  <c r="F301" i="13"/>
  <c r="G303" i="13"/>
  <c r="L311" i="13"/>
  <c r="F321" i="13"/>
  <c r="G37" i="13"/>
  <c r="F66" i="13"/>
  <c r="F104" i="13"/>
  <c r="I108" i="13"/>
  <c r="H177" i="13"/>
  <c r="L183" i="13"/>
  <c r="I218" i="13"/>
  <c r="K221" i="13"/>
  <c r="J227" i="13"/>
  <c r="F260" i="13"/>
  <c r="I294" i="13"/>
  <c r="L297" i="13"/>
  <c r="M300" i="13"/>
  <c r="I301" i="13"/>
  <c r="K303" i="13"/>
  <c r="J336" i="13"/>
  <c r="L63" i="13"/>
  <c r="H69" i="13"/>
  <c r="J72" i="13"/>
  <c r="J218" i="13"/>
  <c r="L221" i="13"/>
  <c r="G222" i="13"/>
  <c r="K301" i="13"/>
  <c r="F255" i="13"/>
  <c r="L245" i="13"/>
  <c r="F335" i="13"/>
  <c r="K299" i="13"/>
  <c r="S272" i="13"/>
  <c r="G271" i="13"/>
  <c r="F244" i="13"/>
  <c r="AI338" i="13"/>
  <c r="G337" i="13" s="1"/>
  <c r="J273" i="13"/>
  <c r="L327" i="13"/>
  <c r="AQ328" i="13"/>
  <c r="K327" i="13"/>
  <c r="AI331" i="13"/>
  <c r="G330" i="13" s="1"/>
  <c r="F241" i="13"/>
  <c r="L292" i="13"/>
  <c r="L296" i="13"/>
  <c r="L175" i="13"/>
  <c r="AU214" i="13"/>
  <c r="M213" i="13" s="1"/>
  <c r="L219" i="13"/>
  <c r="L243" i="13"/>
  <c r="AU256" i="13"/>
  <c r="M255" i="13" s="1"/>
  <c r="AM257" i="13"/>
  <c r="I256" i="13"/>
  <c r="AI258" i="13"/>
  <c r="G257" i="13" s="1"/>
  <c r="AI262" i="13"/>
  <c r="G261" i="13" s="1"/>
  <c r="J270" i="13"/>
  <c r="H292" i="13"/>
  <c r="L293" i="13"/>
  <c r="H298" i="13"/>
  <c r="H319" i="13"/>
  <c r="J328" i="13"/>
  <c r="K329" i="13"/>
  <c r="AQ332" i="13"/>
  <c r="K331" i="13" s="1"/>
  <c r="AQ333" i="13"/>
  <c r="K332" i="13" s="1"/>
  <c r="H335" i="13"/>
  <c r="AU336" i="13"/>
  <c r="M335" i="13" s="1"/>
  <c r="AQ263" i="13"/>
  <c r="K262" i="13" s="1"/>
  <c r="J292" i="13"/>
  <c r="F295" i="13"/>
  <c r="L317" i="13"/>
  <c r="M293" i="13"/>
  <c r="L314" i="13"/>
  <c r="J80" i="13"/>
  <c r="H200" i="13"/>
  <c r="F234" i="13"/>
  <c r="L251" i="13"/>
  <c r="AI257" i="13"/>
  <c r="G256" i="13" s="1"/>
  <c r="AQ257" i="13"/>
  <c r="K256" i="13" s="1"/>
  <c r="AU258" i="13"/>
  <c r="M257" i="13"/>
  <c r="AM263" i="13"/>
  <c r="I262" i="13" s="1"/>
  <c r="F292" i="13"/>
  <c r="H295" i="13"/>
  <c r="H303" i="13"/>
  <c r="J329" i="13"/>
  <c r="AI330" i="13"/>
  <c r="G329" i="13" s="1"/>
  <c r="H331" i="13"/>
  <c r="AU331" i="13"/>
  <c r="M330" i="13" s="1"/>
  <c r="L332" i="13"/>
  <c r="AM333" i="13"/>
  <c r="I332" i="13" s="1"/>
  <c r="AI334" i="13"/>
  <c r="G333" i="13" s="1"/>
  <c r="K333" i="13"/>
  <c r="L301" i="13"/>
  <c r="F118" i="13"/>
  <c r="H138" i="13"/>
  <c r="J214" i="13"/>
  <c r="H302" i="13"/>
  <c r="F23" i="13"/>
  <c r="AM150" i="13"/>
  <c r="I149" i="13" s="1"/>
  <c r="H151" i="13"/>
  <c r="H185" i="13"/>
  <c r="L234" i="13"/>
  <c r="J251" i="13"/>
  <c r="H259" i="13"/>
  <c r="AU259" i="13"/>
  <c r="M258" i="13" s="1"/>
  <c r="L258" i="13"/>
  <c r="L259" i="13"/>
  <c r="J271" i="13"/>
  <c r="AM254" i="13"/>
  <c r="I253" i="13" s="1"/>
  <c r="H253" i="13"/>
  <c r="AQ264" i="13"/>
  <c r="K263" i="13" s="1"/>
  <c r="J263" i="13"/>
  <c r="L146" i="13"/>
  <c r="J159" i="13"/>
  <c r="F163" i="13"/>
  <c r="F177" i="13"/>
  <c r="AI186" i="13"/>
  <c r="G185" i="13" s="1"/>
  <c r="AI214" i="13"/>
  <c r="G213" i="13"/>
  <c r="F213" i="13"/>
  <c r="AU218" i="13"/>
  <c r="M217" i="13"/>
  <c r="L217" i="13"/>
  <c r="H301" i="13"/>
  <c r="AA317" i="13"/>
  <c r="K316" i="13" s="1"/>
  <c r="W237" i="13"/>
  <c r="I236" i="13" s="1"/>
  <c r="H236" i="13"/>
  <c r="AQ256" i="13"/>
  <c r="K255" i="13" s="1"/>
  <c r="J144" i="13"/>
  <c r="F164" i="13"/>
  <c r="F179" i="13"/>
  <c r="AI180" i="13"/>
  <c r="G179" i="13" s="1"/>
  <c r="AM185" i="13"/>
  <c r="I184" i="13" s="1"/>
  <c r="H184" i="13"/>
  <c r="AM187" i="13"/>
  <c r="I186" i="13" s="1"/>
  <c r="H186" i="13"/>
  <c r="AI218" i="13"/>
  <c r="G217" i="13" s="1"/>
  <c r="F217" i="13"/>
  <c r="AM255" i="13"/>
  <c r="I254" i="13" s="1"/>
  <c r="AE275" i="13"/>
  <c r="M274" i="13"/>
  <c r="L274" i="13"/>
  <c r="AU299" i="13"/>
  <c r="M298" i="13" s="1"/>
  <c r="L298" i="13"/>
  <c r="W316" i="13"/>
  <c r="I315" i="13" s="1"/>
  <c r="H315" i="13"/>
  <c r="L178" i="13"/>
  <c r="H224" i="13"/>
  <c r="L315" i="13"/>
  <c r="F319" i="13"/>
  <c r="S195" i="13"/>
  <c r="G194" i="13" s="1"/>
  <c r="H201" i="13"/>
  <c r="F233" i="13"/>
  <c r="AU254" i="13"/>
  <c r="M253" i="13" s="1"/>
  <c r="J258" i="13"/>
  <c r="F259" i="13"/>
  <c r="L263" i="13"/>
  <c r="F302" i="13"/>
  <c r="F303" i="13"/>
  <c r="J24" i="13"/>
  <c r="J142" i="13"/>
  <c r="H147" i="13"/>
  <c r="L148" i="13"/>
  <c r="J150" i="13"/>
  <c r="AM151" i="13"/>
  <c r="I150" i="13" s="1"/>
  <c r="L165" i="13"/>
  <c r="L180" i="13"/>
  <c r="L197" i="13"/>
  <c r="F214" i="13"/>
  <c r="F216" i="13"/>
  <c r="I220" i="13"/>
  <c r="J223" i="13"/>
  <c r="J225" i="13"/>
  <c r="F227" i="13"/>
  <c r="L232" i="13"/>
  <c r="L238" i="13"/>
  <c r="AU253" i="13"/>
  <c r="M252" i="13" s="1"/>
  <c r="L167" i="13"/>
  <c r="H205" i="13"/>
  <c r="F219" i="13"/>
  <c r="F222" i="13"/>
  <c r="F226" i="13"/>
  <c r="F235" i="13"/>
  <c r="H234" i="13"/>
  <c r="H243" i="13"/>
  <c r="J254" i="13"/>
  <c r="F122" i="13"/>
  <c r="H141" i="13"/>
  <c r="H146" i="13"/>
  <c r="H207" i="13"/>
  <c r="G214" i="13"/>
  <c r="L218" i="13"/>
  <c r="H219" i="13"/>
  <c r="H222" i="13"/>
  <c r="L310" i="13"/>
  <c r="M311" i="13"/>
  <c r="M313" i="13"/>
  <c r="K317" i="13"/>
  <c r="H314" i="13"/>
  <c r="F314" i="13"/>
  <c r="F318" i="13"/>
  <c r="M315" i="13"/>
  <c r="G311" i="13"/>
  <c r="F313" i="13"/>
  <c r="F315" i="13"/>
  <c r="M314" i="13"/>
  <c r="I319" i="13"/>
  <c r="H310" i="13"/>
  <c r="I313" i="13"/>
  <c r="G314" i="13"/>
  <c r="F316" i="13"/>
  <c r="J317" i="13"/>
  <c r="J319" i="13"/>
  <c r="K310" i="13"/>
  <c r="K311" i="13"/>
  <c r="J314" i="13"/>
  <c r="J313" i="13"/>
  <c r="L316" i="13"/>
  <c r="M319" i="13"/>
  <c r="J310" i="13"/>
  <c r="AM311" i="13"/>
  <c r="I310" i="13"/>
  <c r="AU311" i="13"/>
  <c r="M310" i="13"/>
  <c r="H313" i="13"/>
  <c r="L313" i="13"/>
  <c r="AQ314" i="13"/>
  <c r="K313" i="13"/>
  <c r="AM317" i="13"/>
  <c r="AU317" i="13"/>
  <c r="M316" i="13"/>
  <c r="AI320" i="13"/>
  <c r="G319" i="13"/>
  <c r="AQ320" i="13"/>
  <c r="J303" i="13"/>
  <c r="W292" i="13"/>
  <c r="AE292" i="13"/>
  <c r="M291" i="13"/>
  <c r="H294" i="13"/>
  <c r="L294" i="13"/>
  <c r="G294" i="13"/>
  <c r="AA295" i="13"/>
  <c r="F297" i="13"/>
  <c r="W298" i="13"/>
  <c r="AE298" i="13"/>
  <c r="M297" i="13"/>
  <c r="AA301" i="13"/>
  <c r="F140" i="13"/>
  <c r="AU144" i="13"/>
  <c r="M143" i="13" s="1"/>
  <c r="L147" i="13"/>
  <c r="AU150" i="13"/>
  <c r="M149" i="13"/>
  <c r="J156" i="13"/>
  <c r="H162" i="13"/>
  <c r="L186" i="13"/>
  <c r="L207" i="13"/>
  <c r="L214" i="13"/>
  <c r="AM214" i="13"/>
  <c r="I213" i="13" s="1"/>
  <c r="J216" i="13"/>
  <c r="J220" i="13"/>
  <c r="L222" i="13"/>
  <c r="J238" i="13"/>
  <c r="J253" i="13"/>
  <c r="H271" i="13"/>
  <c r="S271" i="13"/>
  <c r="G270" i="13" s="1"/>
  <c r="F33" i="13"/>
  <c r="F67" i="13"/>
  <c r="F165" i="13"/>
  <c r="H218" i="13"/>
  <c r="K220" i="13"/>
  <c r="K223" i="13"/>
  <c r="H244" i="13"/>
  <c r="L270" i="13"/>
  <c r="L23" i="13"/>
  <c r="H64" i="13"/>
  <c r="J145" i="13"/>
  <c r="L161" i="13"/>
  <c r="H180" i="13"/>
  <c r="AA196" i="13"/>
  <c r="K195" i="13" s="1"/>
  <c r="J200" i="13"/>
  <c r="J206" i="13"/>
  <c r="L273" i="13"/>
  <c r="AE272" i="13"/>
  <c r="M271" i="13" s="1"/>
  <c r="J274" i="13"/>
  <c r="F275" i="13"/>
  <c r="H272" i="13"/>
  <c r="L272" i="13"/>
  <c r="S273" i="13"/>
  <c r="G272" i="13" s="1"/>
  <c r="AA273" i="13"/>
  <c r="K272" i="13" s="1"/>
  <c r="H68" i="13"/>
  <c r="AM141" i="13"/>
  <c r="I140" i="13" s="1"/>
  <c r="AM146" i="13"/>
  <c r="I145" i="13" s="1"/>
  <c r="AI147" i="13"/>
  <c r="G146" i="13" s="1"/>
  <c r="AQ147" i="13"/>
  <c r="K146" i="13" s="1"/>
  <c r="AE160" i="13"/>
  <c r="M159" i="13" s="1"/>
  <c r="L164" i="13"/>
  <c r="F167" i="13"/>
  <c r="H168" i="13"/>
  <c r="AI177" i="13"/>
  <c r="G176" i="13" s="1"/>
  <c r="J221" i="13"/>
  <c r="H226" i="13"/>
  <c r="H227" i="13"/>
  <c r="H238" i="13"/>
  <c r="F102" i="13"/>
  <c r="F105" i="13"/>
  <c r="J137" i="13"/>
  <c r="AM143" i="13"/>
  <c r="I142" i="13" s="1"/>
  <c r="AI144" i="13"/>
  <c r="G143" i="13" s="1"/>
  <c r="AQ144" i="13"/>
  <c r="K143" i="13" s="1"/>
  <c r="J148" i="13"/>
  <c r="J157" i="13"/>
  <c r="J168" i="13"/>
  <c r="L169" i="13"/>
  <c r="H178" i="13"/>
  <c r="L185" i="13"/>
  <c r="F198" i="13"/>
  <c r="L203" i="13"/>
  <c r="H206" i="13"/>
  <c r="J213" i="13"/>
  <c r="L241" i="13"/>
  <c r="F246" i="13"/>
  <c r="H24" i="13"/>
  <c r="L64" i="13"/>
  <c r="F89" i="13"/>
  <c r="F109" i="13"/>
  <c r="L137" i="13"/>
  <c r="F144" i="13"/>
  <c r="J165" i="13"/>
  <c r="L233" i="13"/>
  <c r="L239" i="13"/>
  <c r="L244" i="13"/>
  <c r="M243" i="13"/>
  <c r="L242" i="13"/>
  <c r="J233" i="13"/>
  <c r="W233" i="13"/>
  <c r="I232" i="13" s="1"/>
  <c r="H241" i="13"/>
  <c r="F240" i="13"/>
  <c r="G233" i="13"/>
  <c r="G236" i="13"/>
  <c r="K234" i="13"/>
  <c r="J234" i="13"/>
  <c r="W238" i="13"/>
  <c r="I237" i="13" s="1"/>
  <c r="J242" i="13"/>
  <c r="J236" i="13"/>
  <c r="K238" i="13"/>
  <c r="H239" i="13"/>
  <c r="AU240" i="13"/>
  <c r="M241" i="13"/>
  <c r="K246" i="13"/>
  <c r="F236" i="13"/>
  <c r="AQ237" i="13"/>
  <c r="G238" i="13"/>
  <c r="AM240" i="13"/>
  <c r="I239" i="13"/>
  <c r="J243" i="13"/>
  <c r="M245" i="13"/>
  <c r="I234" i="13"/>
  <c r="AU235" i="13"/>
  <c r="M234" i="13"/>
  <c r="AQ238" i="13"/>
  <c r="AU241" i="13"/>
  <c r="AI244" i="13"/>
  <c r="AQ244" i="13"/>
  <c r="K243" i="13"/>
  <c r="AI247" i="13"/>
  <c r="G246" i="13"/>
  <c r="W216" i="13"/>
  <c r="S219" i="13"/>
  <c r="W222" i="13"/>
  <c r="AE222" i="13"/>
  <c r="M221" i="13"/>
  <c r="S225" i="13"/>
  <c r="AA225" i="13"/>
  <c r="K227" i="13"/>
  <c r="L206" i="13"/>
  <c r="M206" i="13"/>
  <c r="J203" i="13"/>
  <c r="H198" i="13"/>
  <c r="G208" i="13"/>
  <c r="F200" i="13"/>
  <c r="F199" i="13"/>
  <c r="F201" i="13"/>
  <c r="G203" i="13"/>
  <c r="G201" i="13"/>
  <c r="G198" i="13"/>
  <c r="I198" i="13"/>
  <c r="G204" i="13"/>
  <c r="H196" i="13"/>
  <c r="AA199" i="13"/>
  <c r="K198" i="13" s="1"/>
  <c r="H204" i="13"/>
  <c r="I203" i="13"/>
  <c r="L205" i="13"/>
  <c r="AE205" i="13"/>
  <c r="M204" i="13" s="1"/>
  <c r="F205" i="13"/>
  <c r="F207" i="13"/>
  <c r="F206" i="13"/>
  <c r="I207" i="13"/>
  <c r="J199" i="13"/>
  <c r="K200" i="13"/>
  <c r="K202" i="13"/>
  <c r="K203" i="13"/>
  <c r="I205" i="13"/>
  <c r="L196" i="13"/>
  <c r="M197" i="13"/>
  <c r="L202" i="13"/>
  <c r="M203" i="13"/>
  <c r="F208" i="13"/>
  <c r="F196" i="13"/>
  <c r="AM197" i="13"/>
  <c r="AU197" i="13"/>
  <c r="M196" i="13"/>
  <c r="H199" i="13"/>
  <c r="G199" i="13"/>
  <c r="AQ200" i="13"/>
  <c r="K199" i="13"/>
  <c r="F202" i="13"/>
  <c r="AU203" i="13"/>
  <c r="AQ206" i="13"/>
  <c r="G206" i="13"/>
  <c r="W178" i="13"/>
  <c r="I177" i="13"/>
  <c r="AE178" i="13"/>
  <c r="S181" i="13"/>
  <c r="W184" i="13"/>
  <c r="I183" i="13"/>
  <c r="M183" i="13"/>
  <c r="L45" i="13"/>
  <c r="AI72" i="13"/>
  <c r="G71" i="13"/>
  <c r="S85" i="13"/>
  <c r="G84" i="13" s="1"/>
  <c r="F86" i="13"/>
  <c r="L91" i="13"/>
  <c r="F106" i="13"/>
  <c r="H108" i="13"/>
  <c r="H109" i="13"/>
  <c r="AE120" i="13"/>
  <c r="M119" i="13" s="1"/>
  <c r="J127" i="13"/>
  <c r="AI139" i="13"/>
  <c r="G138" i="13" s="1"/>
  <c r="AQ139" i="13"/>
  <c r="K138" i="13" s="1"/>
  <c r="H157" i="13"/>
  <c r="F162" i="13"/>
  <c r="W165" i="13"/>
  <c r="I164" i="13"/>
  <c r="I109" i="13"/>
  <c r="L72" i="13"/>
  <c r="H92" i="13"/>
  <c r="F159" i="13"/>
  <c r="H84" i="13"/>
  <c r="H89" i="13"/>
  <c r="H103" i="13"/>
  <c r="F127" i="13"/>
  <c r="L156" i="13"/>
  <c r="L160" i="13"/>
  <c r="J163" i="13"/>
  <c r="J166" i="13"/>
  <c r="F160" i="13"/>
  <c r="J161" i="13"/>
  <c r="AA168" i="13"/>
  <c r="K167" i="13" s="1"/>
  <c r="L121" i="13"/>
  <c r="J124" i="13"/>
  <c r="J128" i="13"/>
  <c r="K121" i="13"/>
  <c r="J125" i="13"/>
  <c r="G122" i="13"/>
  <c r="L120" i="13"/>
  <c r="L122" i="13"/>
  <c r="W126" i="13"/>
  <c r="I125" i="13" s="1"/>
  <c r="L126" i="13"/>
  <c r="F123" i="13"/>
  <c r="K130" i="13"/>
  <c r="H120" i="13"/>
  <c r="I123" i="13"/>
  <c r="H126" i="13"/>
  <c r="F120" i="13"/>
  <c r="M120" i="13"/>
  <c r="G123" i="13"/>
  <c r="AQ124" i="13"/>
  <c r="F126" i="13"/>
  <c r="J126" i="13"/>
  <c r="AM127" i="13"/>
  <c r="M126" i="13"/>
  <c r="AI130" i="13"/>
  <c r="L48" i="13"/>
  <c r="F65" i="13"/>
  <c r="L103" i="13"/>
  <c r="AM107" i="13"/>
  <c r="I106" i="13" s="1"/>
  <c r="F108" i="13"/>
  <c r="H42" i="13"/>
  <c r="F51" i="13"/>
  <c r="AE81" i="13"/>
  <c r="M80" i="13" s="1"/>
  <c r="G109" i="13"/>
  <c r="G106" i="13"/>
  <c r="F45" i="13"/>
  <c r="F46" i="13"/>
  <c r="H49" i="13"/>
  <c r="L65" i="13"/>
  <c r="L70" i="13"/>
  <c r="AU72" i="13"/>
  <c r="M71" i="13" s="1"/>
  <c r="H83" i="13"/>
  <c r="AQ110" i="13"/>
  <c r="K109" i="13" s="1"/>
  <c r="H45" i="13"/>
  <c r="F70" i="13"/>
  <c r="J83" i="13"/>
  <c r="F92" i="13"/>
  <c r="L93" i="13"/>
  <c r="F94" i="13"/>
  <c r="F101" i="13"/>
  <c r="J101" i="13"/>
  <c r="S105" i="13"/>
  <c r="G104" i="13"/>
  <c r="AA105" i="13"/>
  <c r="H110" i="13"/>
  <c r="S111" i="13"/>
  <c r="AE88" i="13"/>
  <c r="M87" i="13" s="1"/>
  <c r="L81" i="13"/>
  <c r="L90" i="13"/>
  <c r="L86" i="13"/>
  <c r="AA88" i="13"/>
  <c r="K87" i="13"/>
  <c r="J92" i="13"/>
  <c r="W81" i="13"/>
  <c r="I80" i="13" s="1"/>
  <c r="I84" i="13"/>
  <c r="F90" i="13"/>
  <c r="AA82" i="13"/>
  <c r="K81" i="13" s="1"/>
  <c r="I85" i="13"/>
  <c r="K83" i="13"/>
  <c r="K88" i="13"/>
  <c r="M94" i="13"/>
  <c r="F91" i="13"/>
  <c r="G92" i="13"/>
  <c r="AU83" i="13"/>
  <c r="H85" i="13"/>
  <c r="F88" i="13"/>
  <c r="J88" i="13"/>
  <c r="AM89" i="13"/>
  <c r="AU89" i="13"/>
  <c r="AI95" i="13"/>
  <c r="G94" i="13"/>
  <c r="J63" i="13"/>
  <c r="H66" i="13"/>
  <c r="AA67" i="13"/>
  <c r="I69" i="13"/>
  <c r="AE70" i="13"/>
  <c r="S73" i="13"/>
  <c r="AA73" i="13"/>
  <c r="L42" i="13"/>
  <c r="AA43" i="13"/>
  <c r="K42" i="13" s="1"/>
  <c r="J48" i="13"/>
  <c r="K51" i="13"/>
  <c r="H46" i="13"/>
  <c r="H51" i="13"/>
  <c r="G56" i="13"/>
  <c r="F48" i="13"/>
  <c r="F47" i="13"/>
  <c r="G50" i="13"/>
  <c r="H44" i="13"/>
  <c r="I45" i="13"/>
  <c r="AA50" i="13"/>
  <c r="K49" i="13" s="1"/>
  <c r="K45" i="13"/>
  <c r="G51" i="13"/>
  <c r="K54" i="13"/>
  <c r="L44" i="13"/>
  <c r="M48" i="13"/>
  <c r="L50" i="13"/>
  <c r="F12" i="13"/>
  <c r="L26" i="13"/>
  <c r="H34" i="13"/>
  <c r="F44" i="13"/>
  <c r="J44" i="13"/>
  <c r="H47" i="13"/>
  <c r="F50" i="13"/>
  <c r="AM51" i="13"/>
  <c r="I50" i="13"/>
  <c r="AI54" i="13"/>
  <c r="L8" i="13"/>
  <c r="J33" i="13"/>
  <c r="K33" i="13"/>
  <c r="H27" i="13"/>
  <c r="F36" i="13"/>
  <c r="J14" i="13"/>
  <c r="H14" i="13"/>
  <c r="F34" i="13"/>
  <c r="F37" i="13"/>
  <c r="J11" i="13"/>
  <c r="J13" i="13"/>
  <c r="F5" i="13"/>
  <c r="F13" i="13"/>
  <c r="F17" i="13"/>
  <c r="J8" i="13"/>
  <c r="J16" i="13"/>
  <c r="L10" i="13"/>
  <c r="W26" i="13"/>
  <c r="AE32" i="13"/>
  <c r="J28" i="13"/>
  <c r="K28" i="13"/>
  <c r="M5" i="13"/>
  <c r="L5" i="13"/>
  <c r="AE8" i="13"/>
  <c r="M7" i="13"/>
  <c r="L7" i="13"/>
  <c r="AE12" i="13"/>
  <c r="M11" i="13" s="1"/>
  <c r="L11" i="13"/>
  <c r="AE16" i="13"/>
  <c r="M15" i="13" s="1"/>
  <c r="F14" i="13"/>
  <c r="F18" i="13"/>
  <c r="H4" i="13"/>
  <c r="J10" i="13"/>
  <c r="J18" i="13"/>
  <c r="J34" i="13"/>
  <c r="H18" i="13"/>
  <c r="F7" i="13"/>
  <c r="F11" i="13"/>
  <c r="F15" i="13"/>
  <c r="H9" i="13"/>
  <c r="H17" i="13"/>
  <c r="J5" i="13"/>
  <c r="J12" i="13"/>
  <c r="L14" i="13"/>
  <c r="L25" i="13"/>
  <c r="AE26" i="13"/>
  <c r="M25" i="13"/>
  <c r="W32" i="13"/>
  <c r="J25" i="13"/>
  <c r="J31" i="13"/>
  <c r="H283" i="10"/>
  <c r="H282" i="10"/>
  <c r="H281" i="10"/>
  <c r="H280" i="10"/>
  <c r="H279" i="10"/>
  <c r="H278" i="10"/>
  <c r="H277" i="10"/>
  <c r="H276" i="10"/>
  <c r="H275" i="10"/>
  <c r="H274" i="10"/>
  <c r="H263" i="10"/>
  <c r="H261" i="10"/>
  <c r="H259" i="10"/>
  <c r="H258" i="10"/>
  <c r="H257" i="10"/>
  <c r="H256" i="10"/>
  <c r="H255" i="10"/>
  <c r="H254" i="10"/>
  <c r="L23" i="8"/>
  <c r="I23" i="8" s="1"/>
  <c r="L22" i="8"/>
  <c r="I22" i="8" s="1"/>
  <c r="L21" i="8"/>
  <c r="I21" i="8" s="1"/>
  <c r="L20" i="8"/>
  <c r="I20" i="8" s="1"/>
  <c r="L17" i="8"/>
  <c r="L11" i="8"/>
  <c r="L9" i="8"/>
  <c r="I9" i="8" s="1"/>
  <c r="E23" i="8"/>
  <c r="F23" i="8" s="1"/>
  <c r="E22" i="8"/>
  <c r="G22" i="8" s="1"/>
  <c r="E21" i="8"/>
  <c r="G21" i="8" s="1"/>
  <c r="E20" i="8"/>
  <c r="F20" i="8" s="1"/>
  <c r="E9" i="8"/>
  <c r="F9" i="8" s="1"/>
  <c r="AA249" i="10"/>
  <c r="AB249" i="10" s="1"/>
  <c r="AA248" i="10"/>
  <c r="AB248" i="10" s="1"/>
  <c r="AA247" i="10"/>
  <c r="AB247" i="10" s="1"/>
  <c r="H247" i="10" s="1"/>
  <c r="AA246" i="10"/>
  <c r="AB246" i="10" s="1"/>
  <c r="AA245" i="10"/>
  <c r="AB245" i="10" s="1"/>
  <c r="H245" i="10" s="1"/>
  <c r="AA244" i="10"/>
  <c r="AB244" i="10" s="1"/>
  <c r="AA243" i="10"/>
  <c r="AB243" i="10" s="1"/>
  <c r="AA242" i="10"/>
  <c r="AA241" i="10"/>
  <c r="AB241" i="10" s="1"/>
  <c r="H241" i="10" s="1"/>
  <c r="AA240" i="10"/>
  <c r="AB240" i="10"/>
  <c r="AA239" i="10"/>
  <c r="AA238" i="10"/>
  <c r="AB238" i="10" s="1"/>
  <c r="AA237" i="10"/>
  <c r="AB237" i="10" s="1"/>
  <c r="AA236" i="10"/>
  <c r="AB236" i="10" s="1"/>
  <c r="AA235" i="10"/>
  <c r="AB235" i="10" s="1"/>
  <c r="H235" i="10" s="1"/>
  <c r="AA234" i="10"/>
  <c r="AA233" i="10"/>
  <c r="AB233" i="10"/>
  <c r="AA232" i="10"/>
  <c r="AB232" i="10" s="1"/>
  <c r="AA231" i="10"/>
  <c r="AA230" i="10"/>
  <c r="AA228" i="10"/>
  <c r="AB228" i="10" s="1"/>
  <c r="AA227" i="10"/>
  <c r="AB227" i="10" s="1"/>
  <c r="AA225" i="10"/>
  <c r="AB225" i="10" s="1"/>
  <c r="AA224" i="10"/>
  <c r="AB224" i="10"/>
  <c r="AA222" i="10"/>
  <c r="AB222" i="10" s="1"/>
  <c r="AA221" i="10"/>
  <c r="AB221" i="10" s="1"/>
  <c r="AA220" i="10"/>
  <c r="AB220" i="10"/>
  <c r="AA219" i="10"/>
  <c r="AB219" i="10" s="1"/>
  <c r="H219" i="10" s="1"/>
  <c r="AA218" i="10"/>
  <c r="AA217" i="10"/>
  <c r="AA216" i="10"/>
  <c r="AA215" i="10"/>
  <c r="AB215" i="10" s="1"/>
  <c r="H215" i="10" s="1"/>
  <c r="H192" i="10"/>
  <c r="H190" i="10"/>
  <c r="H188" i="10"/>
  <c r="H186" i="10"/>
  <c r="H184" i="10"/>
  <c r="H182" i="10"/>
  <c r="B136" i="10"/>
  <c r="C136" i="10" s="1"/>
  <c r="D136" i="10" s="1"/>
  <c r="E136" i="10"/>
  <c r="B135" i="10"/>
  <c r="B134" i="10"/>
  <c r="E134" i="10" s="1"/>
  <c r="B133" i="10"/>
  <c r="B132" i="10"/>
  <c r="E132" i="10" s="1"/>
  <c r="B131" i="10"/>
  <c r="C131" i="10" s="1"/>
  <c r="D131" i="10" s="1"/>
  <c r="B130" i="10"/>
  <c r="B129" i="10"/>
  <c r="C129" i="10" s="1"/>
  <c r="D129" i="10" s="1"/>
  <c r="B128" i="10"/>
  <c r="C128" i="10" s="1"/>
  <c r="D128" i="10" s="1"/>
  <c r="B127" i="10"/>
  <c r="B126" i="10"/>
  <c r="E126" i="10" s="1"/>
  <c r="B125" i="10"/>
  <c r="B124" i="10"/>
  <c r="B123" i="10"/>
  <c r="E123" i="10" s="1"/>
  <c r="B122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AA360" i="10"/>
  <c r="AB360" i="10" s="1"/>
  <c r="H360" i="10" s="1"/>
  <c r="AA359" i="10"/>
  <c r="AA358" i="10"/>
  <c r="AA357" i="10"/>
  <c r="AA356" i="10"/>
  <c r="AB356" i="10" s="1"/>
  <c r="H356" i="10" s="1"/>
  <c r="AA355" i="10"/>
  <c r="AB355" i="10" s="1"/>
  <c r="AA354" i="10"/>
  <c r="AA353" i="10"/>
  <c r="AB353" i="10" s="1"/>
  <c r="AA352" i="10"/>
  <c r="AB352" i="10" s="1"/>
  <c r="H352" i="10" s="1"/>
  <c r="AA351" i="10"/>
  <c r="AB351" i="10" s="1"/>
  <c r="H351" i="10" s="1"/>
  <c r="AA350" i="10"/>
  <c r="AA349" i="10"/>
  <c r="AB349" i="10" s="1"/>
  <c r="H349" i="10" s="1"/>
  <c r="AA348" i="10"/>
  <c r="AB348" i="10" s="1"/>
  <c r="H348" i="10" s="1"/>
  <c r="AA347" i="10"/>
  <c r="AA346" i="10"/>
  <c r="AA345" i="10"/>
  <c r="AB345" i="10" s="1"/>
  <c r="AA344" i="10"/>
  <c r="AB344" i="10" s="1"/>
  <c r="H344" i="10" s="1"/>
  <c r="AA343" i="10"/>
  <c r="AA342" i="10"/>
  <c r="H342" i="10" s="1"/>
  <c r="AA341" i="10"/>
  <c r="AB341" i="10" s="1"/>
  <c r="AA340" i="10"/>
  <c r="AB340" i="10" s="1"/>
  <c r="H340" i="10" s="1"/>
  <c r="AA339" i="10"/>
  <c r="H339" i="10" s="1"/>
  <c r="AA338" i="10"/>
  <c r="AB338" i="10" s="1"/>
  <c r="AA337" i="10"/>
  <c r="AB337" i="10" s="1"/>
  <c r="AA336" i="10"/>
  <c r="AB336" i="10" s="1"/>
  <c r="H336" i="10" s="1"/>
  <c r="AA335" i="10"/>
  <c r="AA334" i="10"/>
  <c r="AA333" i="10"/>
  <c r="AB333" i="10" s="1"/>
  <c r="H333" i="10" s="1"/>
  <c r="AA332" i="10"/>
  <c r="AB332" i="10" s="1"/>
  <c r="AA331" i="10"/>
  <c r="AA330" i="10"/>
  <c r="AA329" i="10"/>
  <c r="AB329" i="10" s="1"/>
  <c r="AA328" i="10"/>
  <c r="AA327" i="10"/>
  <c r="AB327" i="10" s="1"/>
  <c r="H327" i="10" s="1"/>
  <c r="AA326" i="10"/>
  <c r="AA325" i="10"/>
  <c r="AB325" i="10" s="1"/>
  <c r="AA324" i="10"/>
  <c r="AB324" i="10" s="1"/>
  <c r="H324" i="10" s="1"/>
  <c r="AA323" i="10"/>
  <c r="AB323" i="10" s="1"/>
  <c r="H323" i="10" s="1"/>
  <c r="AA322" i="10"/>
  <c r="AB322" i="10" s="1"/>
  <c r="H322" i="10" s="1"/>
  <c r="AA321" i="10"/>
  <c r="AB321" i="10" s="1"/>
  <c r="AA320" i="10"/>
  <c r="AB320" i="10" s="1"/>
  <c r="H320" i="10" s="1"/>
  <c r="AA319" i="10"/>
  <c r="AA318" i="10"/>
  <c r="AB318" i="10" s="1"/>
  <c r="H318" i="10" s="1"/>
  <c r="AA316" i="10"/>
  <c r="AB316" i="10" s="1"/>
  <c r="AA315" i="10"/>
  <c r="AA314" i="10"/>
  <c r="AB314" i="10" s="1"/>
  <c r="H314" i="10" s="1"/>
  <c r="AA313" i="10"/>
  <c r="AB313" i="10" s="1"/>
  <c r="H313" i="10" s="1"/>
  <c r="AA312" i="10"/>
  <c r="AB312" i="10" s="1"/>
  <c r="H312" i="10" s="1"/>
  <c r="AA311" i="10"/>
  <c r="AB311" i="10" s="1"/>
  <c r="AA310" i="10"/>
  <c r="AB310" i="10" s="1"/>
  <c r="AA309" i="10"/>
  <c r="AA308" i="10"/>
  <c r="AB308" i="10" s="1"/>
  <c r="H308" i="10" s="1"/>
  <c r="AA306" i="10"/>
  <c r="AB306" i="10" s="1"/>
  <c r="AA305" i="10"/>
  <c r="AB305" i="10" s="1"/>
  <c r="H305" i="10" s="1"/>
  <c r="AA304" i="10"/>
  <c r="AB304" i="10" s="1"/>
  <c r="H304" i="10" s="1"/>
  <c r="AA303" i="10"/>
  <c r="AB303" i="10" s="1"/>
  <c r="H303" i="10" s="1"/>
  <c r="AA301" i="10"/>
  <c r="AA300" i="10"/>
  <c r="AB300" i="10" s="1"/>
  <c r="H300" i="10" s="1"/>
  <c r="AA299" i="10"/>
  <c r="AA297" i="10"/>
  <c r="AB297" i="10" s="1"/>
  <c r="AA296" i="10"/>
  <c r="AA295" i="10"/>
  <c r="AB295" i="10" s="1"/>
  <c r="H295" i="10" s="1"/>
  <c r="AA294" i="10"/>
  <c r="AA293" i="10"/>
  <c r="AB293" i="10" s="1"/>
  <c r="H293" i="10" s="1"/>
  <c r="AA292" i="10"/>
  <c r="AB292" i="10" s="1"/>
  <c r="AA291" i="10"/>
  <c r="AB291" i="10" s="1"/>
  <c r="AA290" i="10"/>
  <c r="AB290" i="10" s="1"/>
  <c r="H290" i="10" s="1"/>
  <c r="AA289" i="10"/>
  <c r="AA288" i="10"/>
  <c r="AB288" i="10" s="1"/>
  <c r="H288" i="10" s="1"/>
  <c r="AD210" i="10"/>
  <c r="AE210" i="10" s="1"/>
  <c r="AD209" i="10"/>
  <c r="AD208" i="10"/>
  <c r="AE208" i="10" s="1"/>
  <c r="AD207" i="10"/>
  <c r="AD206" i="10"/>
  <c r="AE206" i="10" s="1"/>
  <c r="AD205" i="10"/>
  <c r="AE205" i="10" s="1"/>
  <c r="AD204" i="10"/>
  <c r="AE204" i="10" s="1"/>
  <c r="AD203" i="10"/>
  <c r="AD202" i="10"/>
  <c r="AE202" i="10" s="1"/>
  <c r="AD201" i="10"/>
  <c r="AE201" i="10" s="1"/>
  <c r="AD200" i="10"/>
  <c r="AE200" i="10" s="1"/>
  <c r="AD199" i="10"/>
  <c r="AE199" i="10" s="1"/>
  <c r="AD198" i="10"/>
  <c r="AE198" i="10" s="1"/>
  <c r="AD197" i="10"/>
  <c r="AE197" i="10" s="1"/>
  <c r="AD196" i="10"/>
  <c r="AE196" i="10" s="1"/>
  <c r="AD195" i="10"/>
  <c r="AE195" i="10" s="1"/>
  <c r="AD194" i="10"/>
  <c r="AE194" i="10" s="1"/>
  <c r="AD193" i="10"/>
  <c r="AE193" i="10" s="1"/>
  <c r="AD185" i="10"/>
  <c r="AE185" i="10" s="1"/>
  <c r="AD183" i="10"/>
  <c r="AE183" i="10" s="1"/>
  <c r="H183" i="10" s="1"/>
  <c r="B21" i="6"/>
  <c r="A21" i="6"/>
  <c r="B35" i="9"/>
  <c r="I267" i="10" s="1"/>
  <c r="B54" i="9"/>
  <c r="B55" i="9" s="1"/>
  <c r="D19" i="8" s="1"/>
  <c r="B25" i="9"/>
  <c r="I181" i="10" s="1"/>
  <c r="AB299" i="10"/>
  <c r="H299" i="10" s="1"/>
  <c r="AB309" i="10"/>
  <c r="H309" i="10" s="1"/>
  <c r="H310" i="10"/>
  <c r="AB319" i="10"/>
  <c r="H319" i="10" s="1"/>
  <c r="AB326" i="10"/>
  <c r="AB330" i="10"/>
  <c r="AB334" i="10"/>
  <c r="H334" i="10"/>
  <c r="AB335" i="10"/>
  <c r="H335" i="10" s="1"/>
  <c r="AB339" i="10"/>
  <c r="AB342" i="10"/>
  <c r="AB343" i="10"/>
  <c r="H343" i="10" s="1"/>
  <c r="AB350" i="10"/>
  <c r="H350" i="10" s="1"/>
  <c r="AB358" i="10"/>
  <c r="H358" i="10" s="1"/>
  <c r="AB359" i="10"/>
  <c r="H359" i="10" s="1"/>
  <c r="AE209" i="10"/>
  <c r="AB296" i="10"/>
  <c r="H296" i="10" s="1"/>
  <c r="AE203" i="10"/>
  <c r="K16" i="8"/>
  <c r="J16" i="8"/>
  <c r="D16" i="8"/>
  <c r="L16" i="8" s="1"/>
  <c r="I16" i="8" s="1"/>
  <c r="D15" i="8"/>
  <c r="K15" i="8"/>
  <c r="J15" i="8"/>
  <c r="J14" i="8"/>
  <c r="D14" i="8"/>
  <c r="L14" i="8" s="1"/>
  <c r="I14" i="8" s="1"/>
  <c r="K14" i="8"/>
  <c r="D12" i="8"/>
  <c r="L12" i="8" s="1"/>
  <c r="I12" i="8" s="1"/>
  <c r="K12" i="8"/>
  <c r="K11" i="8" s="1"/>
  <c r="J12" i="8"/>
  <c r="J11" i="8" s="1"/>
  <c r="K13" i="8"/>
  <c r="D13" i="8"/>
  <c r="E13" i="8" s="1"/>
  <c r="F13" i="8" s="1"/>
  <c r="J13" i="8"/>
  <c r="B53" i="9"/>
  <c r="D4" i="8"/>
  <c r="E4" i="8" s="1"/>
  <c r="B10" i="9"/>
  <c r="A4" i="6"/>
  <c r="B12" i="9"/>
  <c r="B11" i="9"/>
  <c r="B13" i="9"/>
  <c r="B15" i="9"/>
  <c r="B16" i="9"/>
  <c r="B14" i="9"/>
  <c r="B18" i="9"/>
  <c r="B17" i="9"/>
  <c r="B19" i="9"/>
  <c r="A5" i="6"/>
  <c r="A6" i="6"/>
  <c r="H31" i="13" l="1"/>
  <c r="AM32" i="13"/>
  <c r="I31" i="13" s="1"/>
  <c r="S43" i="13"/>
  <c r="G42" i="13" s="1"/>
  <c r="F42" i="13"/>
  <c r="AU101" i="13"/>
  <c r="M100" i="13" s="1"/>
  <c r="L100" i="13"/>
  <c r="S126" i="13"/>
  <c r="G125" i="13" s="1"/>
  <c r="F125" i="13"/>
  <c r="J46" i="13"/>
  <c r="AA47" i="13"/>
  <c r="K46" i="13" s="1"/>
  <c r="AA94" i="13"/>
  <c r="K93" i="13" s="1"/>
  <c r="J93" i="13"/>
  <c r="AU142" i="13"/>
  <c r="M141" i="13" s="1"/>
  <c r="L141" i="13"/>
  <c r="AU262" i="13"/>
  <c r="M261" i="13" s="1"/>
  <c r="L261" i="13"/>
  <c r="H198" i="10"/>
  <c r="AQ177" i="13"/>
  <c r="K176" i="13" s="1"/>
  <c r="J197" i="13"/>
  <c r="J6" i="13"/>
  <c r="AA7" i="13"/>
  <c r="K6" i="13" s="1"/>
  <c r="F72" i="13"/>
  <c r="AI73" i="13"/>
  <c r="G72" i="13" s="1"/>
  <c r="AI100" i="13"/>
  <c r="G99" i="13" s="1"/>
  <c r="F99" i="13"/>
  <c r="H176" i="13"/>
  <c r="AM177" i="13"/>
  <c r="I176" i="13" s="1"/>
  <c r="L163" i="13"/>
  <c r="AM37" i="13"/>
  <c r="I36" i="13" s="1"/>
  <c r="W44" i="13"/>
  <c r="I43" i="13" s="1"/>
  <c r="H43" i="13"/>
  <c r="AE48" i="13"/>
  <c r="M47" i="13" s="1"/>
  <c r="AQ65" i="13"/>
  <c r="K64" i="13" s="1"/>
  <c r="J64" i="13"/>
  <c r="AQ109" i="13"/>
  <c r="K108" i="13" s="1"/>
  <c r="J108" i="13"/>
  <c r="S170" i="13"/>
  <c r="G169" i="13" s="1"/>
  <c r="AQ182" i="13"/>
  <c r="K181" i="13" s="1"/>
  <c r="J181" i="13"/>
  <c r="AQ185" i="13"/>
  <c r="K184" i="13" s="1"/>
  <c r="J184" i="13"/>
  <c r="H197" i="13"/>
  <c r="W198" i="13"/>
  <c r="I197" i="13" s="1"/>
  <c r="J46" i="14"/>
  <c r="AA123" i="13"/>
  <c r="K122" i="13" s="1"/>
  <c r="J122" i="13"/>
  <c r="F334" i="13"/>
  <c r="AI335" i="13"/>
  <c r="G334" i="13" s="1"/>
  <c r="F175" i="13"/>
  <c r="AU182" i="13"/>
  <c r="M181" i="13" s="1"/>
  <c r="L181" i="13"/>
  <c r="S309" i="13"/>
  <c r="G308" i="13" s="1"/>
  <c r="F308" i="13"/>
  <c r="AE319" i="13"/>
  <c r="M318" i="13" s="1"/>
  <c r="L318" i="13"/>
  <c r="AQ188" i="13"/>
  <c r="K187" i="13" s="1"/>
  <c r="J187" i="13"/>
  <c r="L331" i="13"/>
  <c r="AU332" i="13"/>
  <c r="M331" i="13" s="1"/>
  <c r="J140" i="13"/>
  <c r="AI31" i="13"/>
  <c r="G30" i="13" s="1"/>
  <c r="F30" i="13"/>
  <c r="L108" i="13"/>
  <c r="H354" i="10"/>
  <c r="AQ140" i="13"/>
  <c r="K139" i="13" s="1"/>
  <c r="J139" i="13"/>
  <c r="AA233" i="13"/>
  <c r="K232" i="13" s="1"/>
  <c r="J232" i="13"/>
  <c r="AM256" i="13"/>
  <c r="I255" i="13" s="1"/>
  <c r="H255" i="13"/>
  <c r="AM259" i="13"/>
  <c r="I258" i="13" s="1"/>
  <c r="H258" i="13"/>
  <c r="S274" i="13"/>
  <c r="G273" i="13" s="1"/>
  <c r="F273" i="13"/>
  <c r="W276" i="13"/>
  <c r="I275" i="13" s="1"/>
  <c r="H275" i="13"/>
  <c r="F279" i="13"/>
  <c r="S280" i="13"/>
  <c r="G279" i="13" s="1"/>
  <c r="S321" i="13"/>
  <c r="G320" i="13" s="1"/>
  <c r="F320" i="13"/>
  <c r="L328" i="13"/>
  <c r="AU329" i="13"/>
  <c r="M328" i="13" s="1"/>
  <c r="C125" i="10"/>
  <c r="D125" i="10" s="1"/>
  <c r="E125" i="10"/>
  <c r="F27" i="13"/>
  <c r="AQ291" i="13"/>
  <c r="K290" i="13" s="1"/>
  <c r="AE17" i="13"/>
  <c r="M16" i="13" s="1"/>
  <c r="L16" i="13"/>
  <c r="W82" i="13"/>
  <c r="I81" i="13" s="1"/>
  <c r="AQ148" i="13"/>
  <c r="K147" i="13" s="1"/>
  <c r="J147" i="13"/>
  <c r="F158" i="13"/>
  <c r="S159" i="13"/>
  <c r="G158" i="13" s="1"/>
  <c r="AM217" i="13"/>
  <c r="I216" i="13" s="1"/>
  <c r="H216" i="13"/>
  <c r="AI225" i="13"/>
  <c r="G224" i="13" s="1"/>
  <c r="F224" i="13"/>
  <c r="AE241" i="13"/>
  <c r="M240" i="13" s="1"/>
  <c r="L240" i="13"/>
  <c r="H251" i="13"/>
  <c r="AM252" i="13"/>
  <c r="I251" i="13" s="1"/>
  <c r="AI112" i="13"/>
  <c r="G111" i="13" s="1"/>
  <c r="F111" i="13"/>
  <c r="F121" i="13"/>
  <c r="S122" i="13"/>
  <c r="G121" i="13" s="1"/>
  <c r="AQ176" i="13"/>
  <c r="K175" i="13" s="1"/>
  <c r="J175" i="13"/>
  <c r="L113" i="13"/>
  <c r="AM140" i="13"/>
  <c r="I139" i="13" s="1"/>
  <c r="H139" i="13"/>
  <c r="W322" i="13"/>
  <c r="I321" i="13" s="1"/>
  <c r="H321" i="13"/>
  <c r="H240" i="13"/>
  <c r="AA83" i="13"/>
  <c r="K82" i="13" s="1"/>
  <c r="J82" i="13"/>
  <c r="W128" i="13"/>
  <c r="I127" i="13" s="1"/>
  <c r="H127" i="13"/>
  <c r="F150" i="13"/>
  <c r="AI151" i="13"/>
  <c r="G150" i="13" s="1"/>
  <c r="W236" i="13"/>
  <c r="I235" i="13" s="1"/>
  <c r="H235" i="13"/>
  <c r="H311" i="10"/>
  <c r="H220" i="10"/>
  <c r="AQ28" i="13"/>
  <c r="K27" i="13" s="1"/>
  <c r="AA165" i="13"/>
  <c r="K164" i="13" s="1"/>
  <c r="F26" i="13"/>
  <c r="F238" i="13"/>
  <c r="J54" i="13"/>
  <c r="J55" i="13"/>
  <c r="AU67" i="13"/>
  <c r="M66" i="13" s="1"/>
  <c r="H90" i="13"/>
  <c r="W91" i="13"/>
  <c r="I90" i="13" s="1"/>
  <c r="S132" i="13"/>
  <c r="G131" i="13" s="1"/>
  <c r="F131" i="13"/>
  <c r="AE201" i="13"/>
  <c r="M200" i="13" s="1"/>
  <c r="L200" i="13"/>
  <c r="AI294" i="13"/>
  <c r="G293" i="13" s="1"/>
  <c r="F293" i="13"/>
  <c r="L329" i="13"/>
  <c r="AU330" i="13"/>
  <c r="M329" i="13" s="1"/>
  <c r="AE89" i="13"/>
  <c r="M88" i="13" s="1"/>
  <c r="L88" i="13"/>
  <c r="L264" i="13"/>
  <c r="AU265" i="13"/>
  <c r="M264" i="13" s="1"/>
  <c r="H330" i="10"/>
  <c r="AB354" i="10"/>
  <c r="S240" i="13"/>
  <c r="G239" i="13" s="1"/>
  <c r="F239" i="13"/>
  <c r="AQ303" i="13"/>
  <c r="K302" i="13" s="1"/>
  <c r="J294" i="13"/>
  <c r="W11" i="13"/>
  <c r="I10" i="13" s="1"/>
  <c r="H10" i="13"/>
  <c r="S53" i="13"/>
  <c r="G52" i="13" s="1"/>
  <c r="F52" i="13"/>
  <c r="S54" i="13"/>
  <c r="G53" i="13" s="1"/>
  <c r="F53" i="13"/>
  <c r="AQ66" i="13"/>
  <c r="K65" i="13" s="1"/>
  <c r="J65" i="13"/>
  <c r="S86" i="13"/>
  <c r="G85" i="13" s="1"/>
  <c r="F85" i="13"/>
  <c r="AI150" i="13"/>
  <c r="G149" i="13" s="1"/>
  <c r="F149" i="13"/>
  <c r="W195" i="13"/>
  <c r="I194" i="13" s="1"/>
  <c r="H194" i="13"/>
  <c r="AA208" i="13"/>
  <c r="K207" i="13" s="1"/>
  <c r="J207" i="13"/>
  <c r="AI216" i="13"/>
  <c r="G215" i="13" s="1"/>
  <c r="F215" i="13"/>
  <c r="AU217" i="13"/>
  <c r="M216" i="13" s="1"/>
  <c r="L216" i="13"/>
  <c r="L235" i="13"/>
  <c r="AE236" i="13"/>
  <c r="M235" i="13" s="1"/>
  <c r="AB216" i="10"/>
  <c r="H216" i="10" s="1"/>
  <c r="AU105" i="13"/>
  <c r="M104" i="13" s="1"/>
  <c r="L104" i="13"/>
  <c r="AU146" i="13"/>
  <c r="M145" i="13" s="1"/>
  <c r="L145" i="13"/>
  <c r="H270" i="13"/>
  <c r="W271" i="13"/>
  <c r="I270" i="13" s="1"/>
  <c r="W318" i="13"/>
  <c r="I317" i="13" s="1"/>
  <c r="H317" i="13"/>
  <c r="AB289" i="10"/>
  <c r="H289" i="10"/>
  <c r="L31" i="13"/>
  <c r="H119" i="13"/>
  <c r="F263" i="13"/>
  <c r="AI264" i="13"/>
  <c r="G263" i="13" s="1"/>
  <c r="AE277" i="13"/>
  <c r="M276" i="13" s="1"/>
  <c r="L276" i="13"/>
  <c r="AU335" i="13"/>
  <c r="M334" i="13" s="1"/>
  <c r="L334" i="13"/>
  <c r="AU76" i="13"/>
  <c r="M75" i="13" s="1"/>
  <c r="L75" i="13"/>
  <c r="H158" i="13"/>
  <c r="W159" i="13"/>
  <c r="I158" i="13" s="1"/>
  <c r="L220" i="13"/>
  <c r="AU221" i="13"/>
  <c r="M220" i="13" s="1"/>
  <c r="L105" i="13"/>
  <c r="L32" i="13"/>
  <c r="J291" i="13"/>
  <c r="F328" i="13"/>
  <c r="AI113" i="13"/>
  <c r="G112" i="13" s="1"/>
  <c r="AQ114" i="13"/>
  <c r="K113" i="13" s="1"/>
  <c r="J113" i="13"/>
  <c r="AQ179" i="13"/>
  <c r="K178" i="13" s="1"/>
  <c r="J178" i="13"/>
  <c r="AI182" i="13"/>
  <c r="G181" i="13" s="1"/>
  <c r="F181" i="13"/>
  <c r="AA195" i="13"/>
  <c r="K194" i="13" s="1"/>
  <c r="J194" i="13"/>
  <c r="W203" i="13"/>
  <c r="I202" i="13" s="1"/>
  <c r="AM216" i="13"/>
  <c r="I215" i="13" s="1"/>
  <c r="H215" i="13"/>
  <c r="AQ220" i="13"/>
  <c r="K219" i="13" s="1"/>
  <c r="J219" i="13"/>
  <c r="F223" i="13"/>
  <c r="AI224" i="13"/>
  <c r="G223" i="13" s="1"/>
  <c r="F276" i="13"/>
  <c r="F317" i="13"/>
  <c r="S318" i="13"/>
  <c r="G317" i="13" s="1"/>
  <c r="G378" i="10"/>
  <c r="W378" i="10"/>
  <c r="X378" i="10"/>
  <c r="H63" i="13"/>
  <c r="AM64" i="13"/>
  <c r="I63" i="13" s="1"/>
  <c r="H130" i="13"/>
  <c r="W131" i="13"/>
  <c r="I130" i="13" s="1"/>
  <c r="AA159" i="13"/>
  <c r="K158" i="13" s="1"/>
  <c r="J158" i="13"/>
  <c r="F186" i="13"/>
  <c r="L51" i="13"/>
  <c r="H257" i="13"/>
  <c r="AM258" i="13"/>
  <c r="I257" i="13" s="1"/>
  <c r="F278" i="13"/>
  <c r="S279" i="13"/>
  <c r="G278" i="13" s="1"/>
  <c r="H333" i="13"/>
  <c r="AM334" i="13"/>
  <c r="I333" i="13" s="1"/>
  <c r="AA276" i="13"/>
  <c r="K275" i="13" s="1"/>
  <c r="J275" i="13"/>
  <c r="K18" i="14"/>
  <c r="N58" i="14"/>
  <c r="J9" i="13"/>
  <c r="J102" i="13"/>
  <c r="J149" i="13"/>
  <c r="AQ342" i="13"/>
  <c r="K341" i="13" s="1"/>
  <c r="AE159" i="13"/>
  <c r="M158" i="13" s="1"/>
  <c r="L158" i="13"/>
  <c r="S238" i="13"/>
  <c r="G237" i="13" s="1"/>
  <c r="F237" i="13"/>
  <c r="H243" i="10"/>
  <c r="H50" i="13"/>
  <c r="AA85" i="13"/>
  <c r="K84" i="13" s="1"/>
  <c r="H129" i="13"/>
  <c r="J196" i="13"/>
  <c r="H165" i="13"/>
  <c r="J215" i="13"/>
  <c r="L338" i="13"/>
  <c r="S9" i="13"/>
  <c r="G8" i="13" s="1"/>
  <c r="AU74" i="13"/>
  <c r="M73" i="13" s="1"/>
  <c r="AU139" i="13"/>
  <c r="M138" i="13" s="1"/>
  <c r="L138" i="13"/>
  <c r="AM144" i="13"/>
  <c r="I143" i="13" s="1"/>
  <c r="H143" i="13"/>
  <c r="AQ290" i="13"/>
  <c r="K289" i="13" s="1"/>
  <c r="J289" i="13"/>
  <c r="W312" i="13"/>
  <c r="I311" i="13" s="1"/>
  <c r="H311" i="13"/>
  <c r="AQ338" i="13"/>
  <c r="K337" i="13" s="1"/>
  <c r="J337" i="13"/>
  <c r="AB370" i="10"/>
  <c r="H370" i="10" s="1"/>
  <c r="AA206" i="13"/>
  <c r="K205" i="13" s="1"/>
  <c r="J205" i="13"/>
  <c r="AB365" i="10"/>
  <c r="H365" i="10" s="1"/>
  <c r="H214" i="13"/>
  <c r="AM215" i="13"/>
  <c r="I214" i="13" s="1"/>
  <c r="E223" i="10"/>
  <c r="C223" i="10"/>
  <c r="D223" i="10" s="1"/>
  <c r="F103" i="13"/>
  <c r="J45" i="13"/>
  <c r="S129" i="13"/>
  <c r="G128" i="13" s="1"/>
  <c r="H161" i="13"/>
  <c r="L144" i="13"/>
  <c r="J237" i="13"/>
  <c r="AM180" i="13"/>
  <c r="I179" i="13" s="1"/>
  <c r="AE5" i="13"/>
  <c r="M4" i="13" s="1"/>
  <c r="AM71" i="13"/>
  <c r="I70" i="13" s="1"/>
  <c r="H70" i="13"/>
  <c r="W129" i="13"/>
  <c r="I128" i="13" s="1"/>
  <c r="AU143" i="13"/>
  <c r="M142" i="13" s="1"/>
  <c r="L142" i="13"/>
  <c r="AQ180" i="13"/>
  <c r="K179" i="13" s="1"/>
  <c r="J179" i="13"/>
  <c r="AA205" i="13"/>
  <c r="K204" i="13" s="1"/>
  <c r="J204" i="13"/>
  <c r="F232" i="13"/>
  <c r="S233" i="13"/>
  <c r="G232" i="13" s="1"/>
  <c r="AA279" i="13"/>
  <c r="K278" i="13" s="1"/>
  <c r="J278" i="13"/>
  <c r="G375" i="10"/>
  <c r="W375" i="10"/>
  <c r="X375" i="10"/>
  <c r="J70" i="14"/>
  <c r="I227" i="10"/>
  <c r="H30" i="13"/>
  <c r="F147" i="13"/>
  <c r="F16" i="13"/>
  <c r="S17" i="13"/>
  <c r="G16" i="13" s="1"/>
  <c r="AM62" i="13"/>
  <c r="I61" i="13" s="1"/>
  <c r="H61" i="13"/>
  <c r="L62" i="13"/>
  <c r="AU63" i="13"/>
  <c r="M62" i="13" s="1"/>
  <c r="AQ71" i="13"/>
  <c r="K70" i="13" s="1"/>
  <c r="J70" i="13"/>
  <c r="AI76" i="13"/>
  <c r="G75" i="13" s="1"/>
  <c r="F75" i="13"/>
  <c r="AE90" i="13"/>
  <c r="M89" i="13" s="1"/>
  <c r="L89" i="13"/>
  <c r="AI189" i="13"/>
  <c r="G188" i="13" s="1"/>
  <c r="F188" i="13"/>
  <c r="H208" i="13"/>
  <c r="W209" i="13"/>
  <c r="I208" i="13" s="1"/>
  <c r="AQ218" i="13"/>
  <c r="K217" i="13" s="1"/>
  <c r="J217" i="13"/>
  <c r="AQ227" i="13"/>
  <c r="K226" i="13" s="1"/>
  <c r="J226" i="13"/>
  <c r="AA242" i="13"/>
  <c r="K241" i="13" s="1"/>
  <c r="J241" i="13"/>
  <c r="H252" i="13"/>
  <c r="AM253" i="13"/>
  <c r="I252" i="13" s="1"/>
  <c r="AM266" i="13"/>
  <c r="I265" i="13" s="1"/>
  <c r="H265" i="13"/>
  <c r="AU341" i="13"/>
  <c r="M340" i="13" s="1"/>
  <c r="L340" i="13"/>
  <c r="H144" i="13"/>
  <c r="F142" i="13"/>
  <c r="AI142" i="13"/>
  <c r="G141" i="13" s="1"/>
  <c r="AQ62" i="13"/>
  <c r="K61" i="13" s="1"/>
  <c r="J61" i="13"/>
  <c r="S120" i="13"/>
  <c r="G119" i="13" s="1"/>
  <c r="F119" i="13"/>
  <c r="AU183" i="13"/>
  <c r="M182" i="13" s="1"/>
  <c r="L182" i="13"/>
  <c r="H330" i="13"/>
  <c r="AM331" i="13"/>
  <c r="I330" i="13" s="1"/>
  <c r="F32" i="13"/>
  <c r="AI33" i="13"/>
  <c r="G32" i="13" s="1"/>
  <c r="L94" i="13"/>
  <c r="AI255" i="13"/>
  <c r="G254" i="13" s="1"/>
  <c r="F254" i="13"/>
  <c r="M26" i="14"/>
  <c r="F28" i="14" s="1"/>
  <c r="W319" i="13"/>
  <c r="I318" i="13" s="1"/>
  <c r="H318" i="13"/>
  <c r="J340" i="13"/>
  <c r="AQ341" i="13"/>
  <c r="K340" i="13" s="1"/>
  <c r="H307" i="10"/>
  <c r="AI297" i="13"/>
  <c r="G296" i="13" s="1"/>
  <c r="F296" i="13"/>
  <c r="AI328" i="13"/>
  <c r="G327" i="13" s="1"/>
  <c r="F327" i="13"/>
  <c r="K46" i="14"/>
  <c r="AI252" i="13"/>
  <c r="G251" i="13" s="1"/>
  <c r="F280" i="13"/>
  <c r="N38" i="14"/>
  <c r="I221" i="10"/>
  <c r="M54" i="14"/>
  <c r="I219" i="10"/>
  <c r="I237" i="10"/>
  <c r="AI138" i="13"/>
  <c r="G137" i="13" s="1"/>
  <c r="F137" i="13"/>
  <c r="AQ187" i="13"/>
  <c r="K186" i="13" s="1"/>
  <c r="J186" i="13"/>
  <c r="F195" i="13"/>
  <c r="S196" i="13"/>
  <c r="G195" i="13" s="1"/>
  <c r="N62" i="14"/>
  <c r="M62" i="14"/>
  <c r="K70" i="14"/>
  <c r="H292" i="10"/>
  <c r="AB315" i="10"/>
  <c r="H315" i="10"/>
  <c r="AB346" i="10"/>
  <c r="H346" i="10" s="1"/>
  <c r="AU29" i="13"/>
  <c r="M28" i="13" s="1"/>
  <c r="L28" i="13"/>
  <c r="F87" i="13"/>
  <c r="S88" i="13"/>
  <c r="G87" i="13" s="1"/>
  <c r="AQ108" i="13"/>
  <c r="K107" i="13" s="1"/>
  <c r="J107" i="13"/>
  <c r="F197" i="13"/>
  <c r="AE13" i="13"/>
  <c r="M12" i="13" s="1"/>
  <c r="L12" i="13"/>
  <c r="L13" i="13"/>
  <c r="AE14" i="13"/>
  <c r="M13" i="13" s="1"/>
  <c r="AU28" i="13"/>
  <c r="M27" i="13" s="1"/>
  <c r="L27" i="13"/>
  <c r="W88" i="13"/>
  <c r="I87" i="13" s="1"/>
  <c r="H87" i="13"/>
  <c r="W133" i="13"/>
  <c r="I132" i="13" s="1"/>
  <c r="AI253" i="13"/>
  <c r="G252" i="13" s="1"/>
  <c r="F252" i="13"/>
  <c r="F253" i="13"/>
  <c r="AI254" i="13"/>
  <c r="G253" i="13" s="1"/>
  <c r="J259" i="13"/>
  <c r="AQ260" i="13"/>
  <c r="K259" i="13" s="1"/>
  <c r="AM262" i="13"/>
  <c r="I261" i="13" s="1"/>
  <c r="H261" i="13"/>
  <c r="AM264" i="13"/>
  <c r="I263" i="13" s="1"/>
  <c r="H263" i="13"/>
  <c r="AQ266" i="13"/>
  <c r="K265" i="13" s="1"/>
  <c r="J265" i="13"/>
  <c r="AB239" i="10"/>
  <c r="H239" i="10" s="1"/>
  <c r="AU38" i="13"/>
  <c r="M37" i="13" s="1"/>
  <c r="AM68" i="13"/>
  <c r="I67" i="13" s="1"/>
  <c r="H67" i="13"/>
  <c r="J68" i="13"/>
  <c r="AQ69" i="13"/>
  <c r="K68" i="13" s="1"/>
  <c r="AU70" i="13"/>
  <c r="M69" i="13" s="1"/>
  <c r="L69" i="13"/>
  <c r="AE85" i="13"/>
  <c r="M84" i="13" s="1"/>
  <c r="AA86" i="13"/>
  <c r="K85" i="13" s="1"/>
  <c r="AA87" i="13"/>
  <c r="K86" i="13" s="1"/>
  <c r="J86" i="13"/>
  <c r="AU257" i="13"/>
  <c r="M256" i="13" s="1"/>
  <c r="L256" i="13"/>
  <c r="AB347" i="10"/>
  <c r="H347" i="10"/>
  <c r="AU227" i="13"/>
  <c r="M226" i="13" s="1"/>
  <c r="L68" i="13"/>
  <c r="AU69" i="13"/>
  <c r="M68" i="13" s="1"/>
  <c r="AE84" i="13"/>
  <c r="M83" i="13" s="1"/>
  <c r="L83" i="13"/>
  <c r="L124" i="13"/>
  <c r="AE125" i="13"/>
  <c r="M124" i="13" s="1"/>
  <c r="S158" i="13"/>
  <c r="G157" i="13" s="1"/>
  <c r="F157" i="13"/>
  <c r="S244" i="13"/>
  <c r="G243" i="13" s="1"/>
  <c r="F243" i="13"/>
  <c r="H339" i="13"/>
  <c r="AM340" i="13"/>
  <c r="I339" i="13" s="1"/>
  <c r="AU224" i="13"/>
  <c r="M223" i="13" s="1"/>
  <c r="L223" i="13"/>
  <c r="W54" i="13"/>
  <c r="I53" i="13" s="1"/>
  <c r="H53" i="13"/>
  <c r="AE83" i="13"/>
  <c r="M82" i="13" s="1"/>
  <c r="L82" i="13"/>
  <c r="S94" i="13"/>
  <c r="G93" i="13" s="1"/>
  <c r="F93" i="13"/>
  <c r="J208" i="13"/>
  <c r="AA209" i="13"/>
  <c r="K208" i="13" s="1"/>
  <c r="AU337" i="13"/>
  <c r="M336" i="13" s="1"/>
  <c r="L336" i="13"/>
  <c r="H233" i="10"/>
  <c r="W94" i="13"/>
  <c r="I93" i="13" s="1"/>
  <c r="H93" i="13"/>
  <c r="W167" i="13"/>
  <c r="I166" i="13" s="1"/>
  <c r="H166" i="13"/>
  <c r="AE209" i="13"/>
  <c r="M208" i="13" s="1"/>
  <c r="L208" i="13"/>
  <c r="J300" i="13"/>
  <c r="AQ301" i="13"/>
  <c r="K300" i="13" s="1"/>
  <c r="AM33" i="13"/>
  <c r="I32" i="13" s="1"/>
  <c r="H32" i="13"/>
  <c r="E127" i="10"/>
  <c r="C127" i="10"/>
  <c r="D127" i="10" s="1"/>
  <c r="J74" i="13"/>
  <c r="AQ75" i="13"/>
  <c r="K74" i="13" s="1"/>
  <c r="J293" i="13"/>
  <c r="AQ294" i="13"/>
  <c r="K293" i="13" s="1"/>
  <c r="AB217" i="10"/>
  <c r="H217" i="10" s="1"/>
  <c r="AB357" i="10"/>
  <c r="H357" i="10" s="1"/>
  <c r="H206" i="10"/>
  <c r="J185" i="13"/>
  <c r="W49" i="13"/>
  <c r="I48" i="13" s="1"/>
  <c r="H48" i="13"/>
  <c r="AU75" i="13"/>
  <c r="M74" i="13" s="1"/>
  <c r="L74" i="13"/>
  <c r="F290" i="13"/>
  <c r="AI291" i="13"/>
  <c r="G290" i="13" s="1"/>
  <c r="W310" i="13"/>
  <c r="I309" i="13" s="1"/>
  <c r="H309" i="13"/>
  <c r="H341" i="10"/>
  <c r="AB294" i="10"/>
  <c r="H294" i="10" s="1"/>
  <c r="H221" i="10"/>
  <c r="L18" i="13"/>
  <c r="F49" i="13"/>
  <c r="AQ24" i="13"/>
  <c r="K23" i="13" s="1"/>
  <c r="H123" i="13"/>
  <c r="H156" i="13"/>
  <c r="L236" i="13"/>
  <c r="H300" i="13"/>
  <c r="L302" i="13"/>
  <c r="AQ297" i="13"/>
  <c r="K296" i="13" s="1"/>
  <c r="F311" i="13"/>
  <c r="H55" i="13"/>
  <c r="W56" i="13"/>
  <c r="I55" i="13" s="1"/>
  <c r="AQ105" i="13"/>
  <c r="K104" i="13" s="1"/>
  <c r="J104" i="13"/>
  <c r="H105" i="13"/>
  <c r="AM106" i="13"/>
  <c r="I105" i="13" s="1"/>
  <c r="AU255" i="13"/>
  <c r="M254" i="13" s="1"/>
  <c r="L254" i="13"/>
  <c r="AA309" i="13"/>
  <c r="K308" i="13" s="1"/>
  <c r="J308" i="13"/>
  <c r="H312" i="13"/>
  <c r="W313" i="13"/>
  <c r="I312" i="13" s="1"/>
  <c r="J338" i="13"/>
  <c r="J34" i="14"/>
  <c r="N70" i="14"/>
  <c r="E31" i="10"/>
  <c r="W57" i="13"/>
  <c r="I56" i="13" s="1"/>
  <c r="H56" i="13"/>
  <c r="H291" i="10"/>
  <c r="E131" i="10"/>
  <c r="H228" i="10"/>
  <c r="J29" i="13"/>
  <c r="J297" i="13"/>
  <c r="F54" i="13"/>
  <c r="J280" i="13"/>
  <c r="H25" i="13"/>
  <c r="AM26" i="13"/>
  <c r="I25" i="13" s="1"/>
  <c r="F170" i="13"/>
  <c r="S171" i="13"/>
  <c r="G170" i="13" s="1"/>
  <c r="AE309" i="13"/>
  <c r="M308" i="13" s="1"/>
  <c r="AI300" i="13"/>
  <c r="G299" i="13" s="1"/>
  <c r="J257" i="13"/>
  <c r="F132" i="13"/>
  <c r="AI190" i="13"/>
  <c r="G189" i="13" s="1"/>
  <c r="AI222" i="13"/>
  <c r="G221" i="13" s="1"/>
  <c r="F221" i="13"/>
  <c r="W277" i="13"/>
  <c r="I276" i="13" s="1"/>
  <c r="H276" i="13"/>
  <c r="F289" i="13"/>
  <c r="G371" i="10"/>
  <c r="W371" i="10"/>
  <c r="W376" i="10"/>
  <c r="G376" i="10"/>
  <c r="X376" i="10"/>
  <c r="H200" i="10"/>
  <c r="H306" i="10"/>
  <c r="AU31" i="13"/>
  <c r="M30" i="13" s="1"/>
  <c r="F291" i="13"/>
  <c r="F310" i="13"/>
  <c r="H148" i="13"/>
  <c r="L118" i="13"/>
  <c r="L139" i="13"/>
  <c r="AU140" i="13"/>
  <c r="M139" i="13" s="1"/>
  <c r="W323" i="13"/>
  <c r="I322" i="13" s="1"/>
  <c r="H322" i="13"/>
  <c r="H327" i="13"/>
  <c r="AM335" i="13"/>
  <c r="I334" i="13" s="1"/>
  <c r="AI114" i="13"/>
  <c r="G113" i="13" s="1"/>
  <c r="F113" i="13"/>
  <c r="N22" i="14"/>
  <c r="H325" i="10"/>
  <c r="AB331" i="10"/>
  <c r="H331" i="10" s="1"/>
  <c r="H15" i="13"/>
  <c r="J51" i="13"/>
  <c r="H338" i="10"/>
  <c r="C126" i="10"/>
  <c r="D126" i="10" s="1"/>
  <c r="F264" i="13"/>
  <c r="L131" i="13"/>
  <c r="AM29" i="13"/>
  <c r="I28" i="13" s="1"/>
  <c r="AU37" i="13"/>
  <c r="M36" i="13" s="1"/>
  <c r="AE50" i="13"/>
  <c r="M49" i="13" s="1"/>
  <c r="H91" i="13"/>
  <c r="W92" i="13"/>
  <c r="I91" i="13" s="1"/>
  <c r="AI188" i="13"/>
  <c r="G187" i="13" s="1"/>
  <c r="F187" i="13"/>
  <c r="AM189" i="13"/>
  <c r="I188" i="13" s="1"/>
  <c r="H188" i="13"/>
  <c r="W283" i="13"/>
  <c r="I282" i="13" s="1"/>
  <c r="AE321" i="13"/>
  <c r="M320" i="13" s="1"/>
  <c r="L320" i="13"/>
  <c r="H355" i="10"/>
  <c r="H203" i="10"/>
  <c r="L85" i="13"/>
  <c r="F81" i="13"/>
  <c r="H35" i="13"/>
  <c r="H195" i="13"/>
  <c r="H316" i="13"/>
  <c r="J121" i="13"/>
  <c r="AQ38" i="13"/>
  <c r="K37" i="13" s="1"/>
  <c r="AA170" i="13"/>
  <c r="K169" i="13" s="1"/>
  <c r="J169" i="13"/>
  <c r="L170" i="13"/>
  <c r="AE171" i="13"/>
  <c r="M170" i="13" s="1"/>
  <c r="AE202" i="13"/>
  <c r="M201" i="13" s="1"/>
  <c r="L201" i="13"/>
  <c r="AE247" i="13"/>
  <c r="M246" i="13" s="1"/>
  <c r="L246" i="13"/>
  <c r="W282" i="13"/>
  <c r="I281" i="13" s="1"/>
  <c r="H281" i="13"/>
  <c r="F338" i="13"/>
  <c r="AI339" i="13"/>
  <c r="G338" i="13" s="1"/>
  <c r="K30" i="14"/>
  <c r="D29" i="14" s="1"/>
  <c r="N34" i="14"/>
  <c r="AB328" i="10"/>
  <c r="H328" i="10" s="1"/>
  <c r="H194" i="10"/>
  <c r="E129" i="10"/>
  <c r="H72" i="13"/>
  <c r="H245" i="13"/>
  <c r="J295" i="13"/>
  <c r="H107" i="13"/>
  <c r="AM108" i="13"/>
  <c r="I107" i="13" s="1"/>
  <c r="AI266" i="13"/>
  <c r="G265" i="13" s="1"/>
  <c r="F265" i="13"/>
  <c r="AE322" i="13"/>
  <c r="M321" i="13" s="1"/>
  <c r="AA375" i="10"/>
  <c r="AB375" i="10"/>
  <c r="H340" i="13"/>
  <c r="AM341" i="13"/>
  <c r="I340" i="13" s="1"/>
  <c r="AM190" i="13"/>
  <c r="I189" i="13" s="1"/>
  <c r="M70" i="14"/>
  <c r="W168" i="13"/>
  <c r="I167" i="13" s="1"/>
  <c r="H167" i="13"/>
  <c r="M30" i="14"/>
  <c r="F29" i="14" s="1"/>
  <c r="N30" i="14"/>
  <c r="G29" i="14" s="1"/>
  <c r="N46" i="14"/>
  <c r="K54" i="14"/>
  <c r="J66" i="14"/>
  <c r="AE158" i="13"/>
  <c r="M157" i="13" s="1"/>
  <c r="L157" i="13"/>
  <c r="AI219" i="13"/>
  <c r="G218" i="13" s="1"/>
  <c r="F218" i="13"/>
  <c r="M42" i="14"/>
  <c r="S278" i="13"/>
  <c r="G277" i="13" s="1"/>
  <c r="F277" i="13"/>
  <c r="W374" i="10"/>
  <c r="AB374" i="10" s="1"/>
  <c r="H374" i="10" s="1"/>
  <c r="X374" i="10"/>
  <c r="AA374" i="10" s="1"/>
  <c r="M38" i="14"/>
  <c r="N54" i="14"/>
  <c r="J62" i="14"/>
  <c r="AA241" i="13"/>
  <c r="K240" i="13" s="1"/>
  <c r="J240" i="13"/>
  <c r="J246" i="13"/>
  <c r="J312" i="13"/>
  <c r="AA313" i="13"/>
  <c r="K312" i="13" s="1"/>
  <c r="F281" i="13"/>
  <c r="S282" i="13"/>
  <c r="G281" i="13" s="1"/>
  <c r="X372" i="10"/>
  <c r="W372" i="10"/>
  <c r="AA372" i="10" s="1"/>
  <c r="I242" i="10"/>
  <c r="I234" i="10"/>
  <c r="I230" i="10"/>
  <c r="I226" i="10"/>
  <c r="I218" i="10"/>
  <c r="K38" i="14"/>
  <c r="M34" i="14"/>
  <c r="I233" i="10"/>
  <c r="I229" i="10"/>
  <c r="I225" i="10"/>
  <c r="H187" i="10"/>
  <c r="I240" i="10"/>
  <c r="I224" i="10"/>
  <c r="I216" i="10"/>
  <c r="I189" i="10"/>
  <c r="H189" i="10"/>
  <c r="I236" i="10"/>
  <c r="I220" i="10"/>
  <c r="AB231" i="10"/>
  <c r="H231" i="10" s="1"/>
  <c r="C135" i="10"/>
  <c r="D135" i="10" s="1"/>
  <c r="E135" i="10"/>
  <c r="E130" i="10"/>
  <c r="C130" i="10"/>
  <c r="D130" i="10" s="1"/>
  <c r="AB218" i="10"/>
  <c r="H218" i="10"/>
  <c r="H224" i="10"/>
  <c r="C124" i="10"/>
  <c r="D124" i="10" s="1"/>
  <c r="E124" i="10"/>
  <c r="H210" i="10"/>
  <c r="AE129" i="13"/>
  <c r="M128" i="13" s="1"/>
  <c r="L128" i="13"/>
  <c r="F148" i="13"/>
  <c r="AI149" i="13"/>
  <c r="G148" i="13" s="1"/>
  <c r="AI184" i="13"/>
  <c r="G183" i="13" s="1"/>
  <c r="F183" i="13"/>
  <c r="AA18" i="13"/>
  <c r="K17" i="13" s="1"/>
  <c r="J69" i="13"/>
  <c r="AQ107" i="13"/>
  <c r="K106" i="13" s="1"/>
  <c r="H33" i="13"/>
  <c r="H124" i="13"/>
  <c r="J123" i="13"/>
  <c r="L162" i="13"/>
  <c r="H37" i="13"/>
  <c r="L34" i="13"/>
  <c r="S7" i="13"/>
  <c r="G6" i="13" s="1"/>
  <c r="F6" i="13"/>
  <c r="AA90" i="13"/>
  <c r="K89" i="13" s="1"/>
  <c r="J89" i="13"/>
  <c r="AA92" i="13"/>
  <c r="K91" i="13" s="1"/>
  <c r="J91" i="13"/>
  <c r="AM102" i="13"/>
  <c r="I101" i="13" s="1"/>
  <c r="H101" i="13"/>
  <c r="AM105" i="13"/>
  <c r="I104" i="13" s="1"/>
  <c r="H104" i="13"/>
  <c r="S157" i="13"/>
  <c r="G156" i="13" s="1"/>
  <c r="F156" i="13"/>
  <c r="AU226" i="13"/>
  <c r="M225" i="13" s="1"/>
  <c r="L225" i="13"/>
  <c r="AM292" i="13"/>
  <c r="I291" i="13" s="1"/>
  <c r="H291" i="13"/>
  <c r="H237" i="10"/>
  <c r="H185" i="10"/>
  <c r="H197" i="10"/>
  <c r="H205" i="10"/>
  <c r="H326" i="10"/>
  <c r="C134" i="10"/>
  <c r="D134" i="10" s="1"/>
  <c r="H222" i="10"/>
  <c r="H240" i="10"/>
  <c r="G20" i="8"/>
  <c r="F28" i="13"/>
  <c r="H11" i="13"/>
  <c r="J7" i="13"/>
  <c r="F69" i="13"/>
  <c r="L110" i="13"/>
  <c r="AQ104" i="13"/>
  <c r="K103" i="13" s="1"/>
  <c r="H65" i="13"/>
  <c r="L123" i="13"/>
  <c r="AA202" i="13"/>
  <c r="K201" i="13" s="1"/>
  <c r="J67" i="13"/>
  <c r="J334" i="13"/>
  <c r="AI221" i="13"/>
  <c r="G220" i="13" s="1"/>
  <c r="W7" i="13"/>
  <c r="I6" i="13" s="1"/>
  <c r="AE10" i="13"/>
  <c r="M9" i="13" s="1"/>
  <c r="L9" i="13"/>
  <c r="AM27" i="13"/>
  <c r="I26" i="13" s="1"/>
  <c r="AM30" i="13"/>
  <c r="I29" i="13" s="1"/>
  <c r="AI32" i="13"/>
  <c r="G31" i="13" s="1"/>
  <c r="F31" i="13"/>
  <c r="F35" i="13"/>
  <c r="AI36" i="13"/>
  <c r="G35" i="13" s="1"/>
  <c r="AE55" i="13"/>
  <c r="M54" i="13" s="1"/>
  <c r="AE57" i="13"/>
  <c r="M56" i="13" s="1"/>
  <c r="J62" i="13"/>
  <c r="AM72" i="13"/>
  <c r="I71" i="13" s="1"/>
  <c r="H71" i="13"/>
  <c r="AQ74" i="13"/>
  <c r="K73" i="13" s="1"/>
  <c r="AQ76" i="13"/>
  <c r="K75" i="13" s="1"/>
  <c r="F100" i="13"/>
  <c r="AI101" i="13"/>
  <c r="G100" i="13" s="1"/>
  <c r="AI108" i="13"/>
  <c r="G107" i="13" s="1"/>
  <c r="S125" i="13"/>
  <c r="G124" i="13" s="1"/>
  <c r="F124" i="13"/>
  <c r="AE126" i="13"/>
  <c r="M125" i="13" s="1"/>
  <c r="J141" i="13"/>
  <c r="AI146" i="13"/>
  <c r="G145" i="13" s="1"/>
  <c r="AU177" i="13"/>
  <c r="M176" i="13" s="1"/>
  <c r="L176" i="13"/>
  <c r="AI183" i="13"/>
  <c r="G182" i="13" s="1"/>
  <c r="F182" i="13"/>
  <c r="AM218" i="13"/>
  <c r="I217" i="13" s="1"/>
  <c r="H217" i="13"/>
  <c r="W119" i="13"/>
  <c r="I118" i="13" s="1"/>
  <c r="H118" i="13"/>
  <c r="L199" i="13"/>
  <c r="H196" i="10"/>
  <c r="L17" i="13"/>
  <c r="L33" i="13"/>
  <c r="AU34" i="13"/>
  <c r="M33" i="13" s="1"/>
  <c r="F61" i="13"/>
  <c r="AI62" i="13"/>
  <c r="G61" i="13" s="1"/>
  <c r="AA91" i="13"/>
  <c r="K90" i="13" s="1"/>
  <c r="J90" i="13"/>
  <c r="L106" i="13"/>
  <c r="L127" i="13"/>
  <c r="AE128" i="13"/>
  <c r="M127" i="13" s="1"/>
  <c r="H249" i="10"/>
  <c r="H202" i="10"/>
  <c r="AB301" i="10"/>
  <c r="H301" i="10" s="1"/>
  <c r="H329" i="10"/>
  <c r="H193" i="10"/>
  <c r="H201" i="10"/>
  <c r="H209" i="10"/>
  <c r="C132" i="10"/>
  <c r="D132" i="10" s="1"/>
  <c r="H227" i="10"/>
  <c r="H225" i="10"/>
  <c r="H52" i="13"/>
  <c r="F68" i="13"/>
  <c r="H23" i="13"/>
  <c r="L29" i="13"/>
  <c r="AU30" i="13"/>
  <c r="M29" i="13" s="1"/>
  <c r="AE44" i="13"/>
  <c r="M43" i="13" s="1"/>
  <c r="AM63" i="13"/>
  <c r="I62" i="13" s="1"/>
  <c r="H75" i="13"/>
  <c r="J94" i="13"/>
  <c r="AA95" i="13"/>
  <c r="K94" i="13" s="1"/>
  <c r="J99" i="13"/>
  <c r="AQ100" i="13"/>
  <c r="K99" i="13" s="1"/>
  <c r="AA130" i="13"/>
  <c r="K129" i="13" s="1"/>
  <c r="F139" i="13"/>
  <c r="S162" i="13"/>
  <c r="G161" i="13" s="1"/>
  <c r="F161" i="13"/>
  <c r="S275" i="13"/>
  <c r="G274" i="13" s="1"/>
  <c r="F274" i="13"/>
  <c r="J333" i="13"/>
  <c r="AQ112" i="13"/>
  <c r="K111" i="13" s="1"/>
  <c r="J111" i="13"/>
  <c r="H182" i="13"/>
  <c r="AM183" i="13"/>
  <c r="I182" i="13" s="1"/>
  <c r="AB230" i="10"/>
  <c r="H230" i="10" s="1"/>
  <c r="H88" i="13"/>
  <c r="H113" i="13"/>
  <c r="AM114" i="13"/>
  <c r="I113" i="13" s="1"/>
  <c r="F309" i="13"/>
  <c r="S310" i="13"/>
  <c r="G309" i="13" s="1"/>
  <c r="J322" i="13"/>
  <c r="AA323" i="13"/>
  <c r="K322" i="13" s="1"/>
  <c r="F29" i="13"/>
  <c r="W123" i="13"/>
  <c r="I122" i="13" s="1"/>
  <c r="F184" i="13"/>
  <c r="W13" i="13"/>
  <c r="I12" i="13" s="1"/>
  <c r="H12" i="13"/>
  <c r="S84" i="13"/>
  <c r="G83" i="13" s="1"/>
  <c r="F83" i="13"/>
  <c r="H284" i="13"/>
  <c r="W285" i="13"/>
  <c r="I284" i="13" s="1"/>
  <c r="N42" i="14"/>
  <c r="D27" i="14"/>
  <c r="G27" i="14"/>
  <c r="H208" i="10"/>
  <c r="H353" i="10"/>
  <c r="H345" i="10"/>
  <c r="H297" i="10"/>
  <c r="E122" i="10"/>
  <c r="C122" i="10"/>
  <c r="D122" i="10" s="1"/>
  <c r="H248" i="10"/>
  <c r="L35" i="13"/>
  <c r="J50" i="13"/>
  <c r="F82" i="13"/>
  <c r="H86" i="13"/>
  <c r="J120" i="13"/>
  <c r="AA120" i="13"/>
  <c r="K119" i="13" s="1"/>
  <c r="F129" i="13"/>
  <c r="J182" i="13"/>
  <c r="J131" i="13"/>
  <c r="J105" i="13"/>
  <c r="L6" i="13"/>
  <c r="AE7" i="13"/>
  <c r="M6" i="13" s="1"/>
  <c r="L67" i="13"/>
  <c r="J110" i="13"/>
  <c r="W170" i="13"/>
  <c r="I169" i="13" s="1"/>
  <c r="H169" i="13"/>
  <c r="AU216" i="13"/>
  <c r="M215" i="13" s="1"/>
  <c r="L215" i="13"/>
  <c r="F242" i="13"/>
  <c r="S243" i="13"/>
  <c r="G242" i="13" s="1"/>
  <c r="H280" i="13"/>
  <c r="W281" i="13"/>
  <c r="I280" i="13" s="1"/>
  <c r="J309" i="13"/>
  <c r="AA310" i="13"/>
  <c r="K309" i="13" s="1"/>
  <c r="H199" i="10"/>
  <c r="H236" i="10"/>
  <c r="F10" i="13"/>
  <c r="H223" i="13"/>
  <c r="AQ36" i="13"/>
  <c r="K35" i="13" s="1"/>
  <c r="J35" i="13"/>
  <c r="J52" i="13"/>
  <c r="AA53" i="13"/>
  <c r="K52" i="13" s="1"/>
  <c r="W164" i="13"/>
  <c r="I163" i="13" s="1"/>
  <c r="H163" i="13"/>
  <c r="H321" i="10"/>
  <c r="AB242" i="10"/>
  <c r="H242" i="10" s="1"/>
  <c r="AA44" i="13"/>
  <c r="K43" i="13" s="1"/>
  <c r="J43" i="13"/>
  <c r="F62" i="13"/>
  <c r="AI63" i="13"/>
  <c r="G62" i="13" s="1"/>
  <c r="H204" i="10"/>
  <c r="H337" i="10"/>
  <c r="H13" i="13"/>
  <c r="H16" i="13"/>
  <c r="AE207" i="10"/>
  <c r="H207" i="10" s="1"/>
  <c r="H195" i="10"/>
  <c r="H332" i="10"/>
  <c r="C123" i="10"/>
  <c r="D123" i="10" s="1"/>
  <c r="E128" i="10"/>
  <c r="C133" i="10"/>
  <c r="D133" i="10" s="1"/>
  <c r="E133" i="10"/>
  <c r="AB234" i="10"/>
  <c r="H234" i="10" s="1"/>
  <c r="H244" i="10"/>
  <c r="H8" i="13"/>
  <c r="F4" i="13"/>
  <c r="F80" i="13"/>
  <c r="H102" i="13"/>
  <c r="L24" i="13"/>
  <c r="F180" i="13"/>
  <c r="AA5" i="13"/>
  <c r="K4" i="13" s="1"/>
  <c r="W8" i="13"/>
  <c r="I7" i="13" s="1"/>
  <c r="H7" i="13"/>
  <c r="AA16" i="13"/>
  <c r="K15" i="13" s="1"/>
  <c r="J15" i="13"/>
  <c r="AQ31" i="13"/>
  <c r="K30" i="13" s="1"/>
  <c r="S44" i="13"/>
  <c r="G43" i="13" s="1"/>
  <c r="AA48" i="13"/>
  <c r="K47" i="13" s="1"/>
  <c r="J47" i="13"/>
  <c r="H54" i="13"/>
  <c r="W55" i="13"/>
  <c r="I54" i="13" s="1"/>
  <c r="AA57" i="13"/>
  <c r="K56" i="13" s="1"/>
  <c r="AU100" i="13"/>
  <c r="M99" i="13" s="1"/>
  <c r="AU110" i="13"/>
  <c r="M109" i="13" s="1"/>
  <c r="H112" i="13"/>
  <c r="AM113" i="13"/>
  <c r="I112" i="13" s="1"/>
  <c r="AQ189" i="13"/>
  <c r="K188" i="13" s="1"/>
  <c r="J188" i="13"/>
  <c r="L195" i="13"/>
  <c r="AE196" i="13"/>
  <c r="M195" i="13" s="1"/>
  <c r="AM222" i="13"/>
  <c r="I221" i="13" s="1"/>
  <c r="AA236" i="13"/>
  <c r="K235" i="13" s="1"/>
  <c r="J235" i="13"/>
  <c r="AI259" i="13"/>
  <c r="G258" i="13" s="1"/>
  <c r="F258" i="13"/>
  <c r="H316" i="10"/>
  <c r="H232" i="10"/>
  <c r="H246" i="10"/>
  <c r="J202" i="13"/>
  <c r="AA319" i="13"/>
  <c r="K318" i="13" s="1"/>
  <c r="L194" i="13"/>
  <c r="F166" i="13"/>
  <c r="H100" i="13"/>
  <c r="AM101" i="13"/>
  <c r="I100" i="13" s="1"/>
  <c r="AU103" i="13"/>
  <c r="M102" i="13" s="1"/>
  <c r="L102" i="13"/>
  <c r="AI111" i="13"/>
  <c r="G110" i="13" s="1"/>
  <c r="F110" i="13"/>
  <c r="W122" i="13"/>
  <c r="I121" i="13" s="1"/>
  <c r="H121" i="13"/>
  <c r="AU178" i="13"/>
  <c r="M177" i="13" s="1"/>
  <c r="L177" i="13"/>
  <c r="AQ184" i="13"/>
  <c r="K183" i="13" s="1"/>
  <c r="J183" i="13"/>
  <c r="S284" i="13"/>
  <c r="G283" i="13" s="1"/>
  <c r="F283" i="13"/>
  <c r="H317" i="10"/>
  <c r="F30" i="14"/>
  <c r="AQ181" i="13"/>
  <c r="K180" i="13" s="1"/>
  <c r="J180" i="13"/>
  <c r="F262" i="13"/>
  <c r="AI263" i="13"/>
  <c r="G262" i="13" s="1"/>
  <c r="AU300" i="13"/>
  <c r="M299" i="13" s="1"/>
  <c r="L299" i="13"/>
  <c r="H320" i="13"/>
  <c r="W321" i="13"/>
  <c r="I320" i="13" s="1"/>
  <c r="H238" i="10"/>
  <c r="L179" i="13"/>
  <c r="AQ261" i="13"/>
  <c r="K260" i="13" s="1"/>
  <c r="J260" i="13"/>
  <c r="S285" i="13"/>
  <c r="G284" i="13" s="1"/>
  <c r="F284" i="13"/>
  <c r="AM337" i="13"/>
  <c r="I336" i="13" s="1"/>
  <c r="H336" i="13"/>
  <c r="AI342" i="13"/>
  <c r="G341" i="13" s="1"/>
  <c r="F341" i="13"/>
  <c r="AB364" i="10"/>
  <c r="H364" i="10" s="1"/>
  <c r="AM294" i="13"/>
  <c r="I293" i="13" s="1"/>
  <c r="H293" i="13"/>
  <c r="K50" i="14"/>
  <c r="K66" i="14"/>
  <c r="W278" i="13"/>
  <c r="I277" i="13" s="1"/>
  <c r="H277" i="13"/>
  <c r="S323" i="13"/>
  <c r="G322" i="13" s="1"/>
  <c r="F322" i="13"/>
  <c r="AU334" i="13"/>
  <c r="M333" i="13" s="1"/>
  <c r="L333" i="13"/>
  <c r="M58" i="14"/>
  <c r="K58" i="14"/>
  <c r="L237" i="13"/>
  <c r="AE238" i="13"/>
  <c r="M237" i="13" s="1"/>
  <c r="AA240" i="13"/>
  <c r="K239" i="13" s="1"/>
  <c r="J239" i="13"/>
  <c r="J320" i="13"/>
  <c r="AA321" i="13"/>
  <c r="K320" i="13" s="1"/>
  <c r="AQ340" i="13"/>
  <c r="K339" i="13" s="1"/>
  <c r="J339" i="13"/>
  <c r="AI341" i="13"/>
  <c r="G340" i="13" s="1"/>
  <c r="F340" i="13"/>
  <c r="G373" i="10"/>
  <c r="I373" i="10" s="1"/>
  <c r="W373" i="10"/>
  <c r="X377" i="10"/>
  <c r="AA377" i="10" s="1"/>
  <c r="G377" i="10"/>
  <c r="AU108" i="13"/>
  <c r="M107" i="13" s="1"/>
  <c r="L107" i="13"/>
  <c r="L168" i="13"/>
  <c r="AE169" i="13"/>
  <c r="M168" i="13" s="1"/>
  <c r="W171" i="13"/>
  <c r="I170" i="13" s="1"/>
  <c r="H170" i="13"/>
  <c r="AU185" i="13"/>
  <c r="M184" i="13" s="1"/>
  <c r="L184" i="13"/>
  <c r="AQ225" i="13"/>
  <c r="K224" i="13" s="1"/>
  <c r="J224" i="13"/>
  <c r="L284" i="13"/>
  <c r="AE285" i="13"/>
  <c r="M284" i="13" s="1"/>
  <c r="L322" i="13"/>
  <c r="AE323" i="13"/>
  <c r="M322" i="13" s="1"/>
  <c r="M22" i="14"/>
  <c r="J30" i="14"/>
  <c r="C29" i="14" s="1"/>
  <c r="N26" i="14"/>
  <c r="G28" i="14" s="1"/>
  <c r="K22" i="14"/>
  <c r="AE313" i="13"/>
  <c r="M312" i="13" s="1"/>
  <c r="L312" i="13"/>
  <c r="J22" i="14"/>
  <c r="J42" i="14"/>
  <c r="AM338" i="13"/>
  <c r="I337" i="13" s="1"/>
  <c r="H337" i="13"/>
  <c r="K34" i="14"/>
  <c r="K42" i="14"/>
  <c r="AA285" i="13"/>
  <c r="K284" i="13" s="1"/>
  <c r="J284" i="13"/>
  <c r="AI301" i="13"/>
  <c r="G300" i="13" s="1"/>
  <c r="F300" i="13"/>
  <c r="K26" i="14"/>
  <c r="D28" i="14" s="1"/>
  <c r="N18" i="14"/>
  <c r="J26" i="14"/>
  <c r="C28" i="14" s="1"/>
  <c r="J18" i="14"/>
  <c r="M46" i="14"/>
  <c r="J58" i="14"/>
  <c r="I256" i="10"/>
  <c r="H328" i="13"/>
  <c r="AM329" i="13"/>
  <c r="I328" i="13" s="1"/>
  <c r="AU290" i="13"/>
  <c r="M289" i="13" s="1"/>
  <c r="L289" i="13"/>
  <c r="M50" i="14"/>
  <c r="J54" i="14"/>
  <c r="M66" i="14"/>
  <c r="I281" i="10"/>
  <c r="I249" i="10"/>
  <c r="I243" i="10"/>
  <c r="I271" i="10"/>
  <c r="I261" i="10"/>
  <c r="I258" i="10"/>
  <c r="AB298" i="10"/>
  <c r="H298" i="10" s="1"/>
  <c r="I208" i="10"/>
  <c r="I198" i="10"/>
  <c r="X371" i="10"/>
  <c r="AA371" i="10" s="1"/>
  <c r="J50" i="14"/>
  <c r="K62" i="14"/>
  <c r="AE181" i="10"/>
  <c r="H181" i="10" s="1"/>
  <c r="I200" i="10"/>
  <c r="I235" i="10"/>
  <c r="I206" i="10"/>
  <c r="N66" i="14"/>
  <c r="I283" i="10"/>
  <c r="I246" i="10"/>
  <c r="I185" i="10"/>
  <c r="H287" i="10"/>
  <c r="H229" i="10"/>
  <c r="H226" i="10"/>
  <c r="I279" i="10"/>
  <c r="I273" i="10"/>
  <c r="R10" i="12"/>
  <c r="R15" i="12"/>
  <c r="I187" i="10"/>
  <c r="I254" i="10"/>
  <c r="H214" i="10"/>
  <c r="I193" i="10"/>
  <c r="I278" i="10"/>
  <c r="I263" i="10"/>
  <c r="I241" i="10"/>
  <c r="I210" i="10"/>
  <c r="I202" i="10"/>
  <c r="I194" i="10"/>
  <c r="I276" i="10"/>
  <c r="I268" i="10"/>
  <c r="I247" i="10"/>
  <c r="I239" i="10"/>
  <c r="I231" i="10"/>
  <c r="I223" i="10"/>
  <c r="I215" i="10"/>
  <c r="G53" i="10"/>
  <c r="R13" i="12"/>
  <c r="R11" i="12"/>
  <c r="G20" i="10"/>
  <c r="G51" i="10"/>
  <c r="G44" i="10"/>
  <c r="G43" i="10"/>
  <c r="G41" i="10"/>
  <c r="G39" i="10"/>
  <c r="G22" i="10"/>
  <c r="R9" i="12"/>
  <c r="R8" i="12"/>
  <c r="G14" i="10"/>
  <c r="G23" i="8"/>
  <c r="F22" i="8"/>
  <c r="M14" i="12"/>
  <c r="G37" i="10"/>
  <c r="G113" i="10"/>
  <c r="G107" i="10"/>
  <c r="G101" i="10"/>
  <c r="G95" i="10"/>
  <c r="G89" i="10"/>
  <c r="G83" i="10"/>
  <c r="G77" i="10"/>
  <c r="G71" i="10"/>
  <c r="G65" i="10"/>
  <c r="G59" i="10"/>
  <c r="G30" i="10"/>
  <c r="G50" i="10"/>
  <c r="G49" i="10"/>
  <c r="G47" i="10"/>
  <c r="G35" i="10"/>
  <c r="G34" i="10"/>
  <c r="G29" i="10"/>
  <c r="G26" i="10"/>
  <c r="G24" i="10"/>
  <c r="I214" i="10"/>
  <c r="G15" i="10"/>
  <c r="G9" i="10"/>
  <c r="G3" i="10"/>
  <c r="G114" i="10"/>
  <c r="G108" i="10"/>
  <c r="G102" i="10"/>
  <c r="G96" i="10"/>
  <c r="G90" i="10"/>
  <c r="G84" i="10"/>
  <c r="G78" i="10"/>
  <c r="G72" i="10"/>
  <c r="G66" i="10"/>
  <c r="G60" i="10"/>
  <c r="G54" i="10"/>
  <c r="G52" i="10"/>
  <c r="G33" i="10"/>
  <c r="G8" i="10"/>
  <c r="G118" i="10"/>
  <c r="G112" i="10"/>
  <c r="G106" i="10"/>
  <c r="H106" i="10" s="1"/>
  <c r="G100" i="10"/>
  <c r="G94" i="10"/>
  <c r="G88" i="10"/>
  <c r="G82" i="10"/>
  <c r="G76" i="10"/>
  <c r="G70" i="10"/>
  <c r="G64" i="10"/>
  <c r="G58" i="10"/>
  <c r="G48" i="10"/>
  <c r="G28" i="10"/>
  <c r="G25" i="10"/>
  <c r="G19" i="10"/>
  <c r="G13" i="10"/>
  <c r="G7" i="10"/>
  <c r="G117" i="10"/>
  <c r="G111" i="10"/>
  <c r="G105" i="10"/>
  <c r="G99" i="10"/>
  <c r="G93" i="10"/>
  <c r="G87" i="10"/>
  <c r="G81" i="10"/>
  <c r="G75" i="10"/>
  <c r="G69" i="10"/>
  <c r="G63" i="10"/>
  <c r="G57" i="10"/>
  <c r="G42" i="10"/>
  <c r="G40" i="10"/>
  <c r="G32" i="10"/>
  <c r="G31" i="10"/>
  <c r="G27" i="10"/>
  <c r="G23" i="10"/>
  <c r="G18" i="10"/>
  <c r="G12" i="10"/>
  <c r="G6" i="10"/>
  <c r="D18" i="8"/>
  <c r="E18" i="8" s="1"/>
  <c r="F18" i="8" s="1"/>
  <c r="G116" i="10"/>
  <c r="G110" i="10"/>
  <c r="G104" i="10"/>
  <c r="G98" i="10"/>
  <c r="G92" i="10"/>
  <c r="G86" i="10"/>
  <c r="G80" i="10"/>
  <c r="G74" i="10"/>
  <c r="G68" i="10"/>
  <c r="G62" i="10"/>
  <c r="G56" i="10"/>
  <c r="G38" i="10"/>
  <c r="G21" i="10"/>
  <c r="R16" i="12"/>
  <c r="R14" i="12"/>
  <c r="R12" i="12"/>
  <c r="G17" i="10"/>
  <c r="G11" i="10"/>
  <c r="G5" i="10"/>
  <c r="G115" i="10"/>
  <c r="G109" i="10"/>
  <c r="G103" i="10"/>
  <c r="G97" i="10"/>
  <c r="G91" i="10"/>
  <c r="G85" i="10"/>
  <c r="G79" i="10"/>
  <c r="G73" i="10"/>
  <c r="G67" i="10"/>
  <c r="G61" i="10"/>
  <c r="G55" i="10"/>
  <c r="G46" i="10"/>
  <c r="G45" i="10"/>
  <c r="G36" i="10"/>
  <c r="G16" i="10"/>
  <c r="G10" i="10"/>
  <c r="G4" i="10"/>
  <c r="F21" i="8"/>
  <c r="B2" i="12"/>
  <c r="B3" i="12" s="1"/>
  <c r="N11" i="12" s="1"/>
  <c r="O11" i="12" s="1"/>
  <c r="P11" i="12" s="1"/>
  <c r="Q10" i="12" s="1"/>
  <c r="B6" i="13"/>
  <c r="B158" i="13"/>
  <c r="B310" i="13"/>
  <c r="Q365" i="10" s="1"/>
  <c r="B25" i="13"/>
  <c r="B177" i="13"/>
  <c r="B329" i="13"/>
  <c r="Q366" i="10" s="1"/>
  <c r="B215" i="13"/>
  <c r="B44" i="13"/>
  <c r="B196" i="13"/>
  <c r="B82" i="13"/>
  <c r="B234" i="13"/>
  <c r="B101" i="13"/>
  <c r="B253" i="13"/>
  <c r="B63" i="13"/>
  <c r="B120" i="13"/>
  <c r="B272" i="13"/>
  <c r="B139" i="13"/>
  <c r="B291" i="13"/>
  <c r="M16" i="12"/>
  <c r="Q16" i="12" s="1"/>
  <c r="I274" i="10"/>
  <c r="I269" i="10"/>
  <c r="I264" i="10"/>
  <c r="I259" i="10"/>
  <c r="I203" i="10"/>
  <c r="I195" i="10"/>
  <c r="I190" i="10"/>
  <c r="I182" i="10"/>
  <c r="I266" i="10"/>
  <c r="I253" i="10"/>
  <c r="I205" i="10"/>
  <c r="I197" i="10"/>
  <c r="I192" i="10"/>
  <c r="I184" i="10"/>
  <c r="I280" i="10"/>
  <c r="I275" i="10"/>
  <c r="I270" i="10"/>
  <c r="I260" i="10"/>
  <c r="I255" i="10"/>
  <c r="I217" i="10"/>
  <c r="I207" i="10"/>
  <c r="I199" i="10"/>
  <c r="I186" i="10"/>
  <c r="I265" i="10"/>
  <c r="I204" i="10"/>
  <c r="I196" i="10"/>
  <c r="I191" i="10"/>
  <c r="I183" i="10"/>
  <c r="M13" i="12"/>
  <c r="I282" i="10"/>
  <c r="I277" i="10"/>
  <c r="I272" i="10"/>
  <c r="I262" i="10"/>
  <c r="I257" i="10"/>
  <c r="I209" i="10"/>
  <c r="I201" i="10"/>
  <c r="I188" i="10"/>
  <c r="E191" i="10"/>
  <c r="J39" i="7"/>
  <c r="R39" i="7" s="1"/>
  <c r="J59" i="7"/>
  <c r="R59" i="7" s="1"/>
  <c r="G35" i="7"/>
  <c r="E40" i="7"/>
  <c r="J27" i="7"/>
  <c r="R27" i="7" s="1"/>
  <c r="J30" i="7"/>
  <c r="R30" i="7" s="1"/>
  <c r="G53" i="7"/>
  <c r="J34" i="7"/>
  <c r="R34" i="7" s="1"/>
  <c r="H46" i="7"/>
  <c r="H34" i="7"/>
  <c r="H53" i="7"/>
  <c r="G46" i="7"/>
  <c r="O46" i="7" s="1"/>
  <c r="C262" i="10"/>
  <c r="D262" i="10" s="1"/>
  <c r="C158" i="10"/>
  <c r="C175" i="10"/>
  <c r="C147" i="10"/>
  <c r="C164" i="10"/>
  <c r="E140" i="10"/>
  <c r="C146" i="10"/>
  <c r="C170" i="10"/>
  <c r="E153" i="10"/>
  <c r="C169" i="10"/>
  <c r="C152" i="10"/>
  <c r="C176" i="10"/>
  <c r="C209" i="10"/>
  <c r="D209" i="10" s="1"/>
  <c r="C197" i="10"/>
  <c r="D197" i="10" s="1"/>
  <c r="C218" i="10"/>
  <c r="D218" i="10" s="1"/>
  <c r="E232" i="10"/>
  <c r="E375" i="10"/>
  <c r="F10" i="9"/>
  <c r="S304" i="10" s="1"/>
  <c r="E10" i="9"/>
  <c r="R293" i="10" s="1"/>
  <c r="I293" i="10" s="1"/>
  <c r="M12" i="12"/>
  <c r="E58" i="7"/>
  <c r="E51" i="7"/>
  <c r="H44" i="7"/>
  <c r="F36" i="7"/>
  <c r="F35" i="7"/>
  <c r="G31" i="7"/>
  <c r="G28" i="7"/>
  <c r="O28" i="7" s="1"/>
  <c r="H27" i="7"/>
  <c r="G8" i="7"/>
  <c r="J57" i="7"/>
  <c r="R57" i="7" s="1"/>
  <c r="J50" i="7"/>
  <c r="R50" i="7" s="1"/>
  <c r="G44" i="7"/>
  <c r="O44" i="7" s="1"/>
  <c r="G14" i="7"/>
  <c r="O14" i="7" s="1"/>
  <c r="H37" i="7"/>
  <c r="P37" i="7" s="1"/>
  <c r="E36" i="7"/>
  <c r="F28" i="7"/>
  <c r="H55" i="7"/>
  <c r="E49" i="7"/>
  <c r="E42" i="7"/>
  <c r="G37" i="7"/>
  <c r="O37" i="7" s="1"/>
  <c r="J29" i="7"/>
  <c r="R29" i="7" s="1"/>
  <c r="G55" i="7"/>
  <c r="O55" i="7" s="1"/>
  <c r="J48" i="7"/>
  <c r="R48" i="7" s="1"/>
  <c r="J41" i="7"/>
  <c r="R41" i="7" s="1"/>
  <c r="G24" i="7"/>
  <c r="E25" i="7"/>
  <c r="J26" i="7"/>
  <c r="R26" i="7" s="1"/>
  <c r="H28" i="7"/>
  <c r="F29" i="7"/>
  <c r="H31" i="7"/>
  <c r="P31" i="7" s="1"/>
  <c r="F32" i="7"/>
  <c r="E34" i="7"/>
  <c r="J35" i="7"/>
  <c r="R35" i="7" s="1"/>
  <c r="G36" i="7"/>
  <c r="O36" i="7" s="1"/>
  <c r="E37" i="7"/>
  <c r="G12" i="7"/>
  <c r="O12" i="7" s="1"/>
  <c r="G39" i="7"/>
  <c r="O39" i="7" s="1"/>
  <c r="J40" i="7"/>
  <c r="R40" i="7" s="1"/>
  <c r="G42" i="7"/>
  <c r="J43" i="7"/>
  <c r="R43" i="7" s="1"/>
  <c r="G45" i="7"/>
  <c r="J46" i="7"/>
  <c r="R46" i="7" s="1"/>
  <c r="G48" i="7"/>
  <c r="O48" i="7" s="1"/>
  <c r="J49" i="7"/>
  <c r="R49" i="7" s="1"/>
  <c r="G51" i="7"/>
  <c r="O51" i="7" s="1"/>
  <c r="J52" i="7"/>
  <c r="R52" i="7" s="1"/>
  <c r="G54" i="7"/>
  <c r="J55" i="7"/>
  <c r="R55" i="7" s="1"/>
  <c r="G57" i="7"/>
  <c r="O57" i="7" s="1"/>
  <c r="J58" i="7"/>
  <c r="R58" i="7" s="1"/>
  <c r="G5" i="7"/>
  <c r="G7" i="7"/>
  <c r="G9" i="7"/>
  <c r="H24" i="7"/>
  <c r="F25" i="7"/>
  <c r="E27" i="7"/>
  <c r="J28" i="7"/>
  <c r="R28" i="7" s="1"/>
  <c r="G29" i="7"/>
  <c r="O29" i="7" s="1"/>
  <c r="E30" i="7"/>
  <c r="J31" i="7"/>
  <c r="R31" i="7" s="1"/>
  <c r="G32" i="7"/>
  <c r="E33" i="7"/>
  <c r="F34" i="7"/>
  <c r="H36" i="7"/>
  <c r="F37" i="7"/>
  <c r="G11" i="7"/>
  <c r="O11" i="7" s="1"/>
  <c r="E38" i="7"/>
  <c r="H39" i="7"/>
  <c r="E41" i="7"/>
  <c r="H42" i="7"/>
  <c r="E44" i="7"/>
  <c r="H45" i="7"/>
  <c r="E47" i="7"/>
  <c r="H48" i="7"/>
  <c r="E50" i="7"/>
  <c r="H51" i="7"/>
  <c r="P51" i="7" s="1"/>
  <c r="E53" i="7"/>
  <c r="H54" i="7"/>
  <c r="E56" i="7"/>
  <c r="H57" i="7"/>
  <c r="E59" i="7"/>
  <c r="J24" i="7"/>
  <c r="R24" i="7" s="1"/>
  <c r="G25" i="7"/>
  <c r="E26" i="7"/>
  <c r="F27" i="7"/>
  <c r="H29" i="7"/>
  <c r="F30" i="7"/>
  <c r="H32" i="7"/>
  <c r="F33" i="7"/>
  <c r="G34" i="7"/>
  <c r="H59" i="7"/>
  <c r="E57" i="7"/>
  <c r="E55" i="7"/>
  <c r="H52" i="7"/>
  <c r="H50" i="7"/>
  <c r="E48" i="7"/>
  <c r="E46" i="7"/>
  <c r="H43" i="7"/>
  <c r="H41" i="7"/>
  <c r="E39" i="7"/>
  <c r="E35" i="7"/>
  <c r="J33" i="7"/>
  <c r="R33" i="7" s="1"/>
  <c r="J32" i="7"/>
  <c r="R32" i="7" s="1"/>
  <c r="F31" i="7"/>
  <c r="H30" i="7"/>
  <c r="E29" i="7"/>
  <c r="E28" i="7"/>
  <c r="G27" i="7"/>
  <c r="O27" i="7" s="1"/>
  <c r="F24" i="7"/>
  <c r="E17" i="7"/>
  <c r="G59" i="7"/>
  <c r="O59" i="7" s="1"/>
  <c r="J56" i="7"/>
  <c r="R56" i="7" s="1"/>
  <c r="J54" i="7"/>
  <c r="R54" i="7" s="1"/>
  <c r="G52" i="7"/>
  <c r="G50" i="7"/>
  <c r="J47" i="7"/>
  <c r="R47" i="7" s="1"/>
  <c r="J45" i="7"/>
  <c r="R45" i="7" s="1"/>
  <c r="G43" i="7"/>
  <c r="O43" i="7" s="1"/>
  <c r="G41" i="7"/>
  <c r="O41" i="7" s="1"/>
  <c r="J38" i="7"/>
  <c r="R38" i="7" s="1"/>
  <c r="G10" i="7"/>
  <c r="O10" i="7" s="1"/>
  <c r="H33" i="7"/>
  <c r="E32" i="7"/>
  <c r="E31" i="7"/>
  <c r="G30" i="7"/>
  <c r="H26" i="7"/>
  <c r="J25" i="7"/>
  <c r="R25" i="7" s="1"/>
  <c r="E24" i="7"/>
  <c r="F22" i="7"/>
  <c r="J19" i="7"/>
  <c r="R19" i="7" s="1"/>
  <c r="G6" i="7"/>
  <c r="O6" i="7" s="1"/>
  <c r="G4" i="7"/>
  <c r="H58" i="7"/>
  <c r="P58" i="7" s="1"/>
  <c r="H56" i="7"/>
  <c r="E54" i="7"/>
  <c r="E52" i="7"/>
  <c r="H49" i="7"/>
  <c r="H47" i="7"/>
  <c r="E45" i="7"/>
  <c r="E43" i="7"/>
  <c r="H40" i="7"/>
  <c r="P40" i="7" s="1"/>
  <c r="H38" i="7"/>
  <c r="G13" i="7"/>
  <c r="G33" i="7"/>
  <c r="G26" i="7"/>
  <c r="H25" i="7"/>
  <c r="G58" i="7"/>
  <c r="O58" i="7" s="1"/>
  <c r="G56" i="7"/>
  <c r="J53" i="7"/>
  <c r="R53" i="7" s="1"/>
  <c r="J51" i="7"/>
  <c r="R51" i="7" s="1"/>
  <c r="G49" i="7"/>
  <c r="O49" i="7" s="1"/>
  <c r="G47" i="7"/>
  <c r="O47" i="7" s="1"/>
  <c r="J44" i="7"/>
  <c r="R44" i="7" s="1"/>
  <c r="J42" i="7"/>
  <c r="R42" i="7" s="1"/>
  <c r="G40" i="7"/>
  <c r="O40" i="7" s="1"/>
  <c r="G38" i="7"/>
  <c r="O38" i="7" s="1"/>
  <c r="J37" i="7"/>
  <c r="R37" i="7" s="1"/>
  <c r="J36" i="7"/>
  <c r="H35" i="7"/>
  <c r="I106" i="10"/>
  <c r="F26" i="7"/>
  <c r="C141" i="10"/>
  <c r="C157" i="10"/>
  <c r="E163" i="10"/>
  <c r="C171" i="10"/>
  <c r="E162" i="10"/>
  <c r="E177" i="10"/>
  <c r="C159" i="10"/>
  <c r="C168" i="10"/>
  <c r="C156" i="10"/>
  <c r="E150" i="10"/>
  <c r="C144" i="10"/>
  <c r="E174" i="10"/>
  <c r="C145" i="10"/>
  <c r="C151" i="10"/>
  <c r="E142" i="10"/>
  <c r="C172" i="10"/>
  <c r="C167" i="10"/>
  <c r="C160" i="10"/>
  <c r="C165" i="10"/>
  <c r="E148" i="10"/>
  <c r="C166" i="10"/>
  <c r="C143" i="10"/>
  <c r="E154" i="10"/>
  <c r="E149" i="10"/>
  <c r="C161" i="10"/>
  <c r="C173" i="10"/>
  <c r="E155" i="10"/>
  <c r="C225" i="10"/>
  <c r="D225" i="10" s="1"/>
  <c r="C227" i="10"/>
  <c r="D227" i="10" s="1"/>
  <c r="E239" i="10"/>
  <c r="E245" i="10"/>
  <c r="E228" i="10"/>
  <c r="M8" i="12"/>
  <c r="M15" i="12"/>
  <c r="S306" i="10"/>
  <c r="S307" i="10"/>
  <c r="S299" i="10"/>
  <c r="N16" i="12"/>
  <c r="O35" i="7"/>
  <c r="O26" i="7"/>
  <c r="O8" i="7"/>
  <c r="F15" i="7"/>
  <c r="O56" i="7"/>
  <c r="O54" i="7"/>
  <c r="O42" i="7"/>
  <c r="O52" i="7"/>
  <c r="O7" i="7"/>
  <c r="O24" i="7"/>
  <c r="O33" i="7"/>
  <c r="O30" i="7"/>
  <c r="E16" i="7"/>
  <c r="E19" i="7"/>
  <c r="E22" i="7"/>
  <c r="E15" i="7"/>
  <c r="E18" i="7"/>
  <c r="E21" i="7"/>
  <c r="I375" i="10"/>
  <c r="P378" i="10"/>
  <c r="O13" i="7"/>
  <c r="R36" i="7"/>
  <c r="O34" i="7"/>
  <c r="O25" i="7"/>
  <c r="J17" i="7"/>
  <c r="R17" i="7" s="1"/>
  <c r="J16" i="7"/>
  <c r="R16" i="7" s="1"/>
  <c r="O4" i="7"/>
  <c r="O31" i="7"/>
  <c r="I372" i="10"/>
  <c r="M11" i="12"/>
  <c r="M9" i="12"/>
  <c r="O50" i="7"/>
  <c r="O45" i="7"/>
  <c r="O32" i="7"/>
  <c r="O9" i="7"/>
  <c r="E23" i="7"/>
  <c r="E20" i="7"/>
  <c r="J21" i="7"/>
  <c r="R21" i="7" s="1"/>
  <c r="J20" i="7"/>
  <c r="R20" i="7" s="1"/>
  <c r="J23" i="7"/>
  <c r="R23" i="7" s="1"/>
  <c r="F18" i="7"/>
  <c r="F21" i="7"/>
  <c r="F17" i="7"/>
  <c r="F20" i="7"/>
  <c r="F23" i="7"/>
  <c r="F16" i="7"/>
  <c r="F19" i="7"/>
  <c r="O5" i="7"/>
  <c r="J18" i="7"/>
  <c r="R18" i="7" s="1"/>
  <c r="J15" i="7"/>
  <c r="J22" i="7"/>
  <c r="R22" i="7" s="1"/>
  <c r="E271" i="10"/>
  <c r="C272" i="10"/>
  <c r="D272" i="10" s="1"/>
  <c r="E258" i="10"/>
  <c r="E208" i="10"/>
  <c r="E182" i="10"/>
  <c r="E200" i="10"/>
  <c r="E194" i="10"/>
  <c r="C248" i="10"/>
  <c r="D248" i="10" s="1"/>
  <c r="E242" i="10"/>
  <c r="C233" i="10"/>
  <c r="D233" i="10" s="1"/>
  <c r="E219" i="10"/>
  <c r="C216" i="10"/>
  <c r="D216" i="10" s="1"/>
  <c r="C236" i="10"/>
  <c r="D236" i="10" s="1"/>
  <c r="C240" i="10"/>
  <c r="D240" i="10" s="1"/>
  <c r="E246" i="10"/>
  <c r="C222" i="10"/>
  <c r="D222" i="10" s="1"/>
  <c r="C230" i="10"/>
  <c r="D230" i="10" s="1"/>
  <c r="E234" i="10"/>
  <c r="C224" i="10"/>
  <c r="D224" i="10" s="1"/>
  <c r="E247" i="10"/>
  <c r="E229" i="10"/>
  <c r="C215" i="10"/>
  <c r="D215" i="10" s="1"/>
  <c r="C221" i="10"/>
  <c r="D221" i="10" s="1"/>
  <c r="E231" i="10"/>
  <c r="E238" i="10"/>
  <c r="E244" i="10"/>
  <c r="E226" i="10"/>
  <c r="C217" i="10"/>
  <c r="D217" i="10" s="1"/>
  <c r="C235" i="10"/>
  <c r="D235" i="10" s="1"/>
  <c r="C241" i="10"/>
  <c r="D241" i="10" s="1"/>
  <c r="C237" i="10"/>
  <c r="D237" i="10" s="1"/>
  <c r="C243" i="10"/>
  <c r="D243" i="10" s="1"/>
  <c r="C249" i="10"/>
  <c r="D249" i="10" s="1"/>
  <c r="C214" i="10"/>
  <c r="D214" i="10" s="1"/>
  <c r="C220" i="10"/>
  <c r="D220" i="10" s="1"/>
  <c r="E374" i="10"/>
  <c r="E373" i="10"/>
  <c r="E88" i="10"/>
  <c r="C77" i="10"/>
  <c r="D77" i="10" s="1"/>
  <c r="C89" i="10"/>
  <c r="D89" i="10" s="1"/>
  <c r="E12" i="10"/>
  <c r="E104" i="10"/>
  <c r="C25" i="10"/>
  <c r="D25" i="10" s="1"/>
  <c r="E60" i="10"/>
  <c r="E38" i="10"/>
  <c r="C90" i="10"/>
  <c r="D90" i="10" s="1"/>
  <c r="C78" i="10"/>
  <c r="D78" i="10" s="1"/>
  <c r="C48" i="10"/>
  <c r="D48" i="10" s="1"/>
  <c r="C20" i="10"/>
  <c r="D20" i="10" s="1"/>
  <c r="C94" i="10"/>
  <c r="D94" i="10" s="1"/>
  <c r="E40" i="10"/>
  <c r="E102" i="10"/>
  <c r="E46" i="10"/>
  <c r="C43" i="10"/>
  <c r="D43" i="10" s="1"/>
  <c r="C35" i="10"/>
  <c r="D35" i="10" s="1"/>
  <c r="E103" i="10"/>
  <c r="E29" i="10"/>
  <c r="E106" i="10"/>
  <c r="C33" i="10"/>
  <c r="D33" i="10" s="1"/>
  <c r="E32" i="10"/>
  <c r="C74" i="10"/>
  <c r="D74" i="10" s="1"/>
  <c r="E10" i="10"/>
  <c r="C56" i="10"/>
  <c r="D56" i="10" s="1"/>
  <c r="E67" i="10"/>
  <c r="C68" i="10"/>
  <c r="D68" i="10" s="1"/>
  <c r="C110" i="10"/>
  <c r="D110" i="10" s="1"/>
  <c r="C13" i="10"/>
  <c r="D13" i="10" s="1"/>
  <c r="C70" i="10"/>
  <c r="D70" i="10" s="1"/>
  <c r="C118" i="10"/>
  <c r="D118" i="10" s="1"/>
  <c r="C44" i="10"/>
  <c r="D44" i="10" s="1"/>
  <c r="C62" i="10"/>
  <c r="D62" i="10" s="1"/>
  <c r="C9" i="10"/>
  <c r="D9" i="10" s="1"/>
  <c r="C37" i="10"/>
  <c r="D37" i="10" s="1"/>
  <c r="E15" i="10"/>
  <c r="C116" i="10"/>
  <c r="D116" i="10" s="1"/>
  <c r="E26" i="10"/>
  <c r="C92" i="10"/>
  <c r="D92" i="10" s="1"/>
  <c r="E82" i="10"/>
  <c r="C16" i="10"/>
  <c r="D16" i="10" s="1"/>
  <c r="E18" i="10"/>
  <c r="E30" i="10"/>
  <c r="E58" i="10"/>
  <c r="E79" i="10"/>
  <c r="E98" i="10"/>
  <c r="C61" i="10"/>
  <c r="D61" i="10" s="1"/>
  <c r="C73" i="10"/>
  <c r="D73" i="10" s="1"/>
  <c r="E97" i="10"/>
  <c r="C86" i="10"/>
  <c r="D86" i="10" s="1"/>
  <c r="C4" i="10"/>
  <c r="D4" i="10" s="1"/>
  <c r="C100" i="10"/>
  <c r="D100" i="10" s="1"/>
  <c r="C80" i="10"/>
  <c r="D80" i="10" s="1"/>
  <c r="C83" i="10"/>
  <c r="D83" i="10" s="1"/>
  <c r="C91" i="10"/>
  <c r="D91" i="10" s="1"/>
  <c r="E24" i="10"/>
  <c r="C36" i="10"/>
  <c r="D36" i="10" s="1"/>
  <c r="C54" i="10"/>
  <c r="D54" i="10" s="1"/>
  <c r="E8" i="10"/>
  <c r="C96" i="10"/>
  <c r="D96" i="10" s="1"/>
  <c r="C42" i="10"/>
  <c r="D42" i="10" s="1"/>
  <c r="C84" i="10"/>
  <c r="D84" i="10" s="1"/>
  <c r="C76" i="10"/>
  <c r="D76" i="10" s="1"/>
  <c r="C114" i="10"/>
  <c r="D114" i="10" s="1"/>
  <c r="E66" i="10"/>
  <c r="C87" i="10"/>
  <c r="D87" i="10" s="1"/>
  <c r="C14" i="10"/>
  <c r="D14" i="10" s="1"/>
  <c r="C69" i="10"/>
  <c r="D69" i="10" s="1"/>
  <c r="C55" i="10"/>
  <c r="D55" i="10" s="1"/>
  <c r="C64" i="10"/>
  <c r="D64" i="10" s="1"/>
  <c r="C378" i="10"/>
  <c r="D378" i="10" s="1"/>
  <c r="E330" i="10"/>
  <c r="C366" i="10"/>
  <c r="D366" i="10" s="1"/>
  <c r="E321" i="10"/>
  <c r="C281" i="10"/>
  <c r="D281" i="10" s="1"/>
  <c r="E278" i="10"/>
  <c r="E283" i="10"/>
  <c r="C265" i="10"/>
  <c r="D265" i="10" s="1"/>
  <c r="C253" i="10"/>
  <c r="D253" i="10" s="1"/>
  <c r="C279" i="10"/>
  <c r="D279" i="10" s="1"/>
  <c r="C277" i="10"/>
  <c r="D277" i="10" s="1"/>
  <c r="C257" i="10"/>
  <c r="D257" i="10" s="1"/>
  <c r="E266" i="10"/>
  <c r="C370" i="10"/>
  <c r="D370" i="10" s="1"/>
  <c r="E376" i="10"/>
  <c r="C372" i="10"/>
  <c r="D372" i="10" s="1"/>
  <c r="E377" i="10"/>
  <c r="E371" i="10"/>
  <c r="C323" i="10"/>
  <c r="D323" i="10" s="1"/>
  <c r="C354" i="10"/>
  <c r="D354" i="10" s="1"/>
  <c r="E339" i="10"/>
  <c r="C353" i="10"/>
  <c r="D353" i="10" s="1"/>
  <c r="C316" i="10"/>
  <c r="D316" i="10" s="1"/>
  <c r="C308" i="10"/>
  <c r="D308" i="10" s="1"/>
  <c r="C297" i="10"/>
  <c r="D297" i="10" s="1"/>
  <c r="C355" i="10"/>
  <c r="D355" i="10" s="1"/>
  <c r="C338" i="10"/>
  <c r="D338" i="10" s="1"/>
  <c r="C325" i="10"/>
  <c r="D325" i="10" s="1"/>
  <c r="C337" i="10"/>
  <c r="D337" i="10" s="1"/>
  <c r="E310" i="10"/>
  <c r="C343" i="10"/>
  <c r="D343" i="10" s="1"/>
  <c r="C345" i="10"/>
  <c r="D345" i="10" s="1"/>
  <c r="E309" i="10"/>
  <c r="E331" i="10"/>
  <c r="E361" i="10"/>
  <c r="C319" i="10"/>
  <c r="D319" i="10" s="1"/>
  <c r="E295" i="10"/>
  <c r="E313" i="10"/>
  <c r="E333" i="10"/>
  <c r="E287" i="10"/>
  <c r="C307" i="10"/>
  <c r="D307" i="10" s="1"/>
  <c r="E303" i="10"/>
  <c r="E315" i="10"/>
  <c r="C300" i="10"/>
  <c r="D300" i="10" s="1"/>
  <c r="C302" i="10"/>
  <c r="D302" i="10" s="1"/>
  <c r="E356" i="10"/>
  <c r="C306" i="10"/>
  <c r="D306" i="10" s="1"/>
  <c r="E288" i="10"/>
  <c r="E294" i="10"/>
  <c r="E350" i="10"/>
  <c r="C362" i="10"/>
  <c r="D362" i="10" s="1"/>
  <c r="C344" i="10"/>
  <c r="D344" i="10" s="1"/>
  <c r="E314" i="10"/>
  <c r="C332" i="10"/>
  <c r="D332" i="10" s="1"/>
  <c r="C301" i="10"/>
  <c r="D301" i="10" s="1"/>
  <c r="E311" i="10"/>
  <c r="E320" i="10"/>
  <c r="E336" i="10"/>
  <c r="C352" i="10"/>
  <c r="D352" i="10" s="1"/>
  <c r="C359" i="10"/>
  <c r="D359" i="10" s="1"/>
  <c r="C341" i="10"/>
  <c r="D341" i="10" s="1"/>
  <c r="E289" i="10"/>
  <c r="E317" i="10"/>
  <c r="E342" i="10"/>
  <c r="E304" i="10"/>
  <c r="C347" i="10"/>
  <c r="D347" i="10" s="1"/>
  <c r="C329" i="10"/>
  <c r="D329" i="10" s="1"/>
  <c r="C328" i="10"/>
  <c r="D328" i="10" s="1"/>
  <c r="C292" i="10"/>
  <c r="D292" i="10" s="1"/>
  <c r="C335" i="10"/>
  <c r="D335" i="10" s="1"/>
  <c r="C290" i="10"/>
  <c r="D290" i="10" s="1"/>
  <c r="C293" i="10"/>
  <c r="D293" i="10" s="1"/>
  <c r="E291" i="10"/>
  <c r="E322" i="10"/>
  <c r="E334" i="10"/>
  <c r="E340" i="10"/>
  <c r="E326" i="10"/>
  <c r="E296" i="10"/>
  <c r="E305" i="10"/>
  <c r="C365" i="10"/>
  <c r="D365" i="10" s="1"/>
  <c r="E346" i="10"/>
  <c r="C349" i="10"/>
  <c r="D349" i="10" s="1"/>
  <c r="E358" i="10"/>
  <c r="C360" i="10"/>
  <c r="D360" i="10" s="1"/>
  <c r="C312" i="10"/>
  <c r="D312" i="10" s="1"/>
  <c r="C363" i="10"/>
  <c r="D363" i="10" s="1"/>
  <c r="C298" i="10"/>
  <c r="D298" i="10" s="1"/>
  <c r="E351" i="10"/>
  <c r="E357" i="10"/>
  <c r="E364" i="10"/>
  <c r="C318" i="10"/>
  <c r="D318" i="10" s="1"/>
  <c r="E299" i="10"/>
  <c r="E324" i="10"/>
  <c r="C348" i="10"/>
  <c r="D348" i="10" s="1"/>
  <c r="C327" i="10"/>
  <c r="D327" i="10" s="1"/>
  <c r="C282" i="10"/>
  <c r="D282" i="10" s="1"/>
  <c r="E261" i="10"/>
  <c r="E267" i="10"/>
  <c r="C273" i="10"/>
  <c r="D273" i="10" s="1"/>
  <c r="E259" i="10"/>
  <c r="E269" i="10"/>
  <c r="E256" i="10"/>
  <c r="E255" i="10"/>
  <c r="E270" i="10"/>
  <c r="E260" i="10"/>
  <c r="C264" i="10"/>
  <c r="D264" i="10" s="1"/>
  <c r="C276" i="10"/>
  <c r="D276" i="10" s="1"/>
  <c r="C268" i="10"/>
  <c r="D268" i="10" s="1"/>
  <c r="E274" i="10"/>
  <c r="C263" i="10"/>
  <c r="D263" i="10" s="1"/>
  <c r="C280" i="10"/>
  <c r="D280" i="10" s="1"/>
  <c r="E254" i="10"/>
  <c r="E275" i="10"/>
  <c r="C202" i="10"/>
  <c r="D202" i="10" s="1"/>
  <c r="C193" i="10"/>
  <c r="D193" i="10" s="1"/>
  <c r="C195" i="10"/>
  <c r="D195" i="10" s="1"/>
  <c r="C185" i="10"/>
  <c r="D185" i="10" s="1"/>
  <c r="E210" i="10"/>
  <c r="E203" i="10"/>
  <c r="E206" i="10"/>
  <c r="C205" i="10"/>
  <c r="D205" i="10" s="1"/>
  <c r="C189" i="10"/>
  <c r="D189" i="10" s="1"/>
  <c r="E199" i="10"/>
  <c r="E181" i="10"/>
  <c r="E196" i="10"/>
  <c r="C207" i="10"/>
  <c r="D207" i="10" s="1"/>
  <c r="E190" i="10"/>
  <c r="E198" i="10"/>
  <c r="C204" i="10"/>
  <c r="D204" i="10" s="1"/>
  <c r="C192" i="10"/>
  <c r="D192" i="10" s="1"/>
  <c r="E187" i="10"/>
  <c r="E184" i="10"/>
  <c r="E183" i="10"/>
  <c r="E186" i="10"/>
  <c r="E201" i="10"/>
  <c r="E188" i="10"/>
  <c r="E107" i="10"/>
  <c r="E7" i="10"/>
  <c r="C28" i="10"/>
  <c r="D28" i="10" s="1"/>
  <c r="E75" i="10"/>
  <c r="C53" i="10"/>
  <c r="D53" i="10" s="1"/>
  <c r="C34" i="10"/>
  <c r="D34" i="10" s="1"/>
  <c r="E23" i="10"/>
  <c r="C101" i="10"/>
  <c r="D101" i="10" s="1"/>
  <c r="C19" i="10"/>
  <c r="D19" i="10" s="1"/>
  <c r="C41" i="10"/>
  <c r="D41" i="10" s="1"/>
  <c r="E71" i="10"/>
  <c r="C59" i="10"/>
  <c r="D59" i="10" s="1"/>
  <c r="E65" i="10"/>
  <c r="E22" i="10"/>
  <c r="E51" i="10"/>
  <c r="C17" i="10"/>
  <c r="D17" i="10" s="1"/>
  <c r="C11" i="10"/>
  <c r="D11" i="10" s="1"/>
  <c r="C93" i="10"/>
  <c r="D93" i="10" s="1"/>
  <c r="E5" i="10"/>
  <c r="E27" i="10"/>
  <c r="E81" i="10"/>
  <c r="E52" i="10"/>
  <c r="C39" i="10"/>
  <c r="D39" i="10" s="1"/>
  <c r="C57" i="10"/>
  <c r="D57" i="10" s="1"/>
  <c r="C111" i="10"/>
  <c r="D111" i="10" s="1"/>
  <c r="C21" i="10"/>
  <c r="D21" i="10" s="1"/>
  <c r="C105" i="10"/>
  <c r="D105" i="10" s="1"/>
  <c r="C99" i="10"/>
  <c r="D99" i="10" s="1"/>
  <c r="C49" i="10"/>
  <c r="D49" i="10" s="1"/>
  <c r="C47" i="10"/>
  <c r="D47" i="10" s="1"/>
  <c r="E45" i="10"/>
  <c r="C117" i="10"/>
  <c r="D117" i="10" s="1"/>
  <c r="C50" i="10"/>
  <c r="D50" i="10" s="1"/>
  <c r="L4" i="8"/>
  <c r="I4" i="8" s="1"/>
  <c r="L19" i="8"/>
  <c r="I19" i="8" s="1"/>
  <c r="E19" i="8"/>
  <c r="F19" i="8" s="1"/>
  <c r="E16" i="8"/>
  <c r="H18" i="8"/>
  <c r="L13" i="8"/>
  <c r="I13" i="8" s="1"/>
  <c r="B2" i="6"/>
  <c r="B9" i="9"/>
  <c r="G4" i="8"/>
  <c r="F4" i="8"/>
  <c r="G13" i="8"/>
  <c r="L15" i="8"/>
  <c r="I15" i="8" s="1"/>
  <c r="E15" i="8"/>
  <c r="E12" i="8"/>
  <c r="E14" i="8"/>
  <c r="AB378" i="10" l="1"/>
  <c r="H378" i="10" s="1"/>
  <c r="AA378" i="10"/>
  <c r="D30" i="14"/>
  <c r="B19" i="14" s="1"/>
  <c r="B20" i="14" s="1"/>
  <c r="B21" i="14" s="1"/>
  <c r="P39" i="7"/>
  <c r="G30" i="14"/>
  <c r="S10" i="12"/>
  <c r="F13" i="9" s="1"/>
  <c r="S16" i="12"/>
  <c r="V16" i="12" s="1"/>
  <c r="Q378" i="10" s="1"/>
  <c r="N27" i="7"/>
  <c r="N17" i="7"/>
  <c r="H375" i="10"/>
  <c r="F4" i="7"/>
  <c r="N4" i="7" s="1"/>
  <c r="AB372" i="10"/>
  <c r="H372" i="10" s="1"/>
  <c r="F10" i="7"/>
  <c r="N10" i="7" s="1"/>
  <c r="J7" i="7"/>
  <c r="R7" i="7" s="1"/>
  <c r="N24" i="7"/>
  <c r="AA376" i="10"/>
  <c r="AB376" i="10" s="1"/>
  <c r="H376" i="10" s="1"/>
  <c r="AB377" i="10"/>
  <c r="H377" i="10" s="1"/>
  <c r="AB371" i="10"/>
  <c r="H371" i="10" s="1"/>
  <c r="M19" i="7"/>
  <c r="M35" i="7"/>
  <c r="S35" i="7" s="1"/>
  <c r="T35" i="7" s="1"/>
  <c r="H116" i="10" s="1"/>
  <c r="I116" i="10" s="1"/>
  <c r="M31" i="7"/>
  <c r="S31" i="7" s="1"/>
  <c r="T31" i="7" s="1"/>
  <c r="H111" i="10" s="1"/>
  <c r="I111" i="10" s="1"/>
  <c r="M57" i="7"/>
  <c r="S57" i="7" s="1"/>
  <c r="T57" i="7" s="1"/>
  <c r="R287" i="10"/>
  <c r="I287" i="10" s="1"/>
  <c r="N23" i="7"/>
  <c r="M20" i="7"/>
  <c r="N8" i="12"/>
  <c r="O8" i="12" s="1"/>
  <c r="P8" i="12" s="1"/>
  <c r="B4" i="12"/>
  <c r="I377" i="10" s="1"/>
  <c r="S292" i="10"/>
  <c r="P35" i="7"/>
  <c r="M54" i="7"/>
  <c r="S54" i="7" s="1"/>
  <c r="T54" i="7" s="1"/>
  <c r="P50" i="7"/>
  <c r="N30" i="7"/>
  <c r="M56" i="7"/>
  <c r="S56" i="7" s="1"/>
  <c r="T56" i="7" s="1"/>
  <c r="M44" i="7"/>
  <c r="S44" i="7" s="1"/>
  <c r="T44" i="7" s="1"/>
  <c r="N34" i="7"/>
  <c r="N25" i="7"/>
  <c r="M34" i="7"/>
  <c r="S34" i="7" s="1"/>
  <c r="T34" i="7" s="1"/>
  <c r="H115" i="10" s="1"/>
  <c r="I115" i="10" s="1"/>
  <c r="F8" i="7"/>
  <c r="N8" i="7" s="1"/>
  <c r="P55" i="7"/>
  <c r="M58" i="7"/>
  <c r="S58" i="7" s="1"/>
  <c r="T58" i="7" s="1"/>
  <c r="P46" i="7"/>
  <c r="N20" i="7"/>
  <c r="M23" i="7"/>
  <c r="M22" i="7"/>
  <c r="N14" i="12"/>
  <c r="O14" i="12" s="1"/>
  <c r="P14" i="12" s="1"/>
  <c r="Q13" i="12" s="1"/>
  <c r="P375" i="10" s="1"/>
  <c r="N13" i="12"/>
  <c r="O13" i="12" s="1"/>
  <c r="P13" i="12" s="1"/>
  <c r="Q12" i="12" s="1"/>
  <c r="S12" i="12" s="1"/>
  <c r="E15" i="9" s="1"/>
  <c r="S289" i="10"/>
  <c r="P38" i="7"/>
  <c r="P56" i="7"/>
  <c r="P26" i="7"/>
  <c r="M17" i="7"/>
  <c r="P52" i="7"/>
  <c r="P29" i="7"/>
  <c r="P54" i="7"/>
  <c r="P42" i="7"/>
  <c r="M33" i="7"/>
  <c r="S33" i="7" s="1"/>
  <c r="T33" i="7" s="1"/>
  <c r="H114" i="10" s="1"/>
  <c r="I114" i="10" s="1"/>
  <c r="P24" i="7"/>
  <c r="N32" i="7"/>
  <c r="N28" i="7"/>
  <c r="P27" i="7"/>
  <c r="M55" i="7"/>
  <c r="S55" i="7" s="1"/>
  <c r="T55" i="7" s="1"/>
  <c r="M53" i="7"/>
  <c r="S53" i="7" s="1"/>
  <c r="T53" i="7" s="1"/>
  <c r="N21" i="7"/>
  <c r="M26" i="7"/>
  <c r="S26" i="7" s="1"/>
  <c r="T26" i="7" s="1"/>
  <c r="H104" i="10" s="1"/>
  <c r="I104" i="10" s="1"/>
  <c r="N29" i="7"/>
  <c r="N18" i="7"/>
  <c r="N10" i="12"/>
  <c r="O10" i="12" s="1"/>
  <c r="P10" i="12" s="1"/>
  <c r="Q9" i="12" s="1"/>
  <c r="S9" i="12" s="1"/>
  <c r="S293" i="10"/>
  <c r="M45" i="7"/>
  <c r="S45" i="7" s="1"/>
  <c r="T45" i="7" s="1"/>
  <c r="M32" i="7"/>
  <c r="S32" i="7" s="1"/>
  <c r="T32" i="7" s="1"/>
  <c r="H112" i="10" s="1"/>
  <c r="I112" i="10" s="1"/>
  <c r="M28" i="7"/>
  <c r="S28" i="7" s="1"/>
  <c r="T28" i="7" s="1"/>
  <c r="H108" i="10" s="1"/>
  <c r="I108" i="10" s="1"/>
  <c r="P41" i="7"/>
  <c r="P59" i="7"/>
  <c r="M50" i="7"/>
  <c r="S50" i="7" s="1"/>
  <c r="T50" i="7" s="1"/>
  <c r="M38" i="7"/>
  <c r="S38" i="7" s="1"/>
  <c r="T38" i="7" s="1"/>
  <c r="M30" i="7"/>
  <c r="S30" i="7" s="1"/>
  <c r="T30" i="7" s="1"/>
  <c r="H110" i="10" s="1"/>
  <c r="I110" i="10" s="1"/>
  <c r="P28" i="7"/>
  <c r="N35" i="7"/>
  <c r="R299" i="10"/>
  <c r="I299" i="10" s="1"/>
  <c r="S303" i="10"/>
  <c r="N15" i="12"/>
  <c r="O15" i="12" s="1"/>
  <c r="P15" i="12" s="1"/>
  <c r="Q14" i="12" s="1"/>
  <c r="S14" i="12" s="1"/>
  <c r="E17" i="9" s="1"/>
  <c r="R350" i="10" s="1"/>
  <c r="I350" i="10" s="1"/>
  <c r="S300" i="10"/>
  <c r="P25" i="7"/>
  <c r="P47" i="7"/>
  <c r="P33" i="7"/>
  <c r="M29" i="7"/>
  <c r="S29" i="7" s="1"/>
  <c r="T29" i="7" s="1"/>
  <c r="H109" i="10" s="1"/>
  <c r="I109" i="10" s="1"/>
  <c r="P43" i="7"/>
  <c r="P48" i="7"/>
  <c r="M37" i="7"/>
  <c r="S37" i="7" s="1"/>
  <c r="T37" i="7" s="1"/>
  <c r="H118" i="10" s="1"/>
  <c r="I118" i="10" s="1"/>
  <c r="N36" i="7"/>
  <c r="M40" i="7"/>
  <c r="S40" i="7" s="1"/>
  <c r="T40" i="7" s="1"/>
  <c r="P44" i="7"/>
  <c r="P53" i="7"/>
  <c r="M41" i="7"/>
  <c r="S41" i="7" s="1"/>
  <c r="T41" i="7" s="1"/>
  <c r="M36" i="7"/>
  <c r="S36" i="7" s="1"/>
  <c r="T36" i="7" s="1"/>
  <c r="H117" i="10" s="1"/>
  <c r="I117" i="10" s="1"/>
  <c r="N55" i="7"/>
  <c r="N47" i="7"/>
  <c r="N38" i="7"/>
  <c r="N43" i="7"/>
  <c r="N44" i="7"/>
  <c r="N59" i="7"/>
  <c r="N41" i="7"/>
  <c r="N54" i="7"/>
  <c r="N57" i="7"/>
  <c r="N48" i="7"/>
  <c r="N53" i="7"/>
  <c r="N45" i="7"/>
  <c r="N52" i="7"/>
  <c r="N39" i="7"/>
  <c r="N51" i="7"/>
  <c r="N46" i="7"/>
  <c r="N58" i="7"/>
  <c r="N50" i="7"/>
  <c r="N42" i="7"/>
  <c r="N40" i="7"/>
  <c r="N49" i="7"/>
  <c r="N56" i="7"/>
  <c r="M16" i="7"/>
  <c r="N9" i="12"/>
  <c r="O9" i="12" s="1"/>
  <c r="P9" i="12" s="1"/>
  <c r="Q8" i="12" s="1"/>
  <c r="S8" i="12" s="1"/>
  <c r="V8" i="12" s="1"/>
  <c r="Q370" i="10" s="1"/>
  <c r="M43" i="7"/>
  <c r="S43" i="7" s="1"/>
  <c r="T43" i="7" s="1"/>
  <c r="AA373" i="10"/>
  <c r="AB373" i="10" s="1"/>
  <c r="R310" i="10"/>
  <c r="I310" i="10" s="1"/>
  <c r="N19" i="7"/>
  <c r="M21" i="7"/>
  <c r="N12" i="12"/>
  <c r="O12" i="12" s="1"/>
  <c r="P12" i="12" s="1"/>
  <c r="Q11" i="12" s="1"/>
  <c r="S297" i="10"/>
  <c r="N26" i="7"/>
  <c r="P49" i="7"/>
  <c r="N22" i="7"/>
  <c r="P30" i="7"/>
  <c r="M46" i="7"/>
  <c r="S46" i="7" s="1"/>
  <c r="T46" i="7" s="1"/>
  <c r="N33" i="7"/>
  <c r="M59" i="7"/>
  <c r="S59" i="7" s="1"/>
  <c r="T59" i="7" s="1"/>
  <c r="M47" i="7"/>
  <c r="S47" i="7" s="1"/>
  <c r="T47" i="7" s="1"/>
  <c r="N37" i="7"/>
  <c r="M25" i="7"/>
  <c r="S25" i="7" s="1"/>
  <c r="T25" i="7" s="1"/>
  <c r="H102" i="10" s="1"/>
  <c r="I102" i="10" s="1"/>
  <c r="M42" i="7"/>
  <c r="S42" i="7" s="1"/>
  <c r="T42" i="7" s="1"/>
  <c r="N16" i="7"/>
  <c r="M18" i="7"/>
  <c r="S294" i="10"/>
  <c r="M52" i="7"/>
  <c r="S52" i="7" s="1"/>
  <c r="T52" i="7" s="1"/>
  <c r="M24" i="7"/>
  <c r="S24" i="7" s="1"/>
  <c r="T24" i="7" s="1"/>
  <c r="H99" i="10" s="1"/>
  <c r="I99" i="10" s="1"/>
  <c r="N31" i="7"/>
  <c r="M48" i="7"/>
  <c r="S48" i="7" s="1"/>
  <c r="T48" i="7" s="1"/>
  <c r="P32" i="7"/>
  <c r="P57" i="7"/>
  <c r="P45" i="7"/>
  <c r="P36" i="7"/>
  <c r="M27" i="7"/>
  <c r="S27" i="7" s="1"/>
  <c r="T27" i="7" s="1"/>
  <c r="H107" i="10" s="1"/>
  <c r="I107" i="10" s="1"/>
  <c r="M49" i="7"/>
  <c r="S49" i="7" s="1"/>
  <c r="T49" i="7" s="1"/>
  <c r="M51" i="7"/>
  <c r="S51" i="7" s="1"/>
  <c r="T51" i="7" s="1"/>
  <c r="P34" i="7"/>
  <c r="C30" i="14"/>
  <c r="B18" i="14" s="1"/>
  <c r="G18" i="8"/>
  <c r="L18" i="8"/>
  <c r="I18" i="8" s="1"/>
  <c r="E5" i="7"/>
  <c r="M5" i="7" s="1"/>
  <c r="S5" i="7" s="1"/>
  <c r="T5" i="7" s="1"/>
  <c r="H11" i="10" s="1"/>
  <c r="I11" i="10" s="1"/>
  <c r="J10" i="7"/>
  <c r="R10" i="7" s="1"/>
  <c r="R304" i="10"/>
  <c r="I304" i="10" s="1"/>
  <c r="R296" i="10"/>
  <c r="I296" i="10" s="1"/>
  <c r="J8" i="7"/>
  <c r="R8" i="7" s="1"/>
  <c r="R288" i="10"/>
  <c r="I288" i="10" s="1"/>
  <c r="R298" i="10"/>
  <c r="I298" i="10" s="1"/>
  <c r="R309" i="10"/>
  <c r="I309" i="10" s="1"/>
  <c r="R307" i="10"/>
  <c r="I307" i="10" s="1"/>
  <c r="R290" i="10"/>
  <c r="I290" i="10" s="1"/>
  <c r="R292" i="10"/>
  <c r="I292" i="10" s="1"/>
  <c r="R303" i="10"/>
  <c r="I303" i="10" s="1"/>
  <c r="R301" i="10"/>
  <c r="I301" i="10" s="1"/>
  <c r="R294" i="10"/>
  <c r="I294" i="10" s="1"/>
  <c r="R308" i="10"/>
  <c r="I308" i="10" s="1"/>
  <c r="J5" i="7"/>
  <c r="R5" i="7" s="1"/>
  <c r="R311" i="10"/>
  <c r="I311" i="10" s="1"/>
  <c r="R297" i="10"/>
  <c r="I297" i="10" s="1"/>
  <c r="R295" i="10"/>
  <c r="I295" i="10" s="1"/>
  <c r="R302" i="10"/>
  <c r="I302" i="10" s="1"/>
  <c r="R306" i="10"/>
  <c r="I306" i="10" s="1"/>
  <c r="R305" i="10"/>
  <c r="I305" i="10" s="1"/>
  <c r="R291" i="10"/>
  <c r="I291" i="10" s="1"/>
  <c r="R289" i="10"/>
  <c r="I289" i="10" s="1"/>
  <c r="R300" i="10"/>
  <c r="I300" i="10" s="1"/>
  <c r="F13" i="7"/>
  <c r="N13" i="7" s="1"/>
  <c r="E8" i="7"/>
  <c r="M8" i="7" s="1"/>
  <c r="S8" i="7" s="1"/>
  <c r="T8" i="7" s="1"/>
  <c r="H31" i="10" s="1"/>
  <c r="I31" i="10" s="1"/>
  <c r="F5" i="7"/>
  <c r="N5" i="7" s="1"/>
  <c r="E9" i="7"/>
  <c r="M9" i="7" s="1"/>
  <c r="S9" i="7" s="1"/>
  <c r="T9" i="7" s="1"/>
  <c r="H38" i="10" s="1"/>
  <c r="I38" i="10" s="1"/>
  <c r="E14" i="7"/>
  <c r="M14" i="7" s="1"/>
  <c r="S14" i="7" s="1"/>
  <c r="T14" i="7" s="1"/>
  <c r="F6" i="7"/>
  <c r="N6" i="7" s="1"/>
  <c r="F11" i="7"/>
  <c r="N11" i="7" s="1"/>
  <c r="J4" i="7"/>
  <c r="R4" i="7" s="1"/>
  <c r="F9" i="7"/>
  <c r="N9" i="7" s="1"/>
  <c r="S291" i="10"/>
  <c r="S288" i="10"/>
  <c r="S311" i="10"/>
  <c r="S305" i="10"/>
  <c r="F12" i="7"/>
  <c r="N12" i="7" s="1"/>
  <c r="J13" i="7"/>
  <c r="R13" i="7" s="1"/>
  <c r="E10" i="7"/>
  <c r="M10" i="7" s="1"/>
  <c r="S10" i="7" s="1"/>
  <c r="T10" i="7" s="1"/>
  <c r="J12" i="7"/>
  <c r="R12" i="7" s="1"/>
  <c r="E13" i="7"/>
  <c r="M13" i="7" s="1"/>
  <c r="S13" i="7" s="1"/>
  <c r="T13" i="7" s="1"/>
  <c r="E4" i="7"/>
  <c r="M4" i="7" s="1"/>
  <c r="S4" i="7" s="1"/>
  <c r="T4" i="7" s="1"/>
  <c r="H5" i="10" s="1"/>
  <c r="I5" i="10" s="1"/>
  <c r="E11" i="7"/>
  <c r="M11" i="7" s="1"/>
  <c r="S11" i="7" s="1"/>
  <c r="T11" i="7" s="1"/>
  <c r="F14" i="7"/>
  <c r="N14" i="7" s="1"/>
  <c r="S290" i="10"/>
  <c r="S309" i="10"/>
  <c r="S298" i="10"/>
  <c r="S287" i="10"/>
  <c r="E7" i="7"/>
  <c r="M7" i="7" s="1"/>
  <c r="S7" i="7" s="1"/>
  <c r="T7" i="7" s="1"/>
  <c r="H22" i="10" s="1"/>
  <c r="I22" i="10" s="1"/>
  <c r="S302" i="10"/>
  <c r="S310" i="10"/>
  <c r="S295" i="10"/>
  <c r="S301" i="10"/>
  <c r="F7" i="7"/>
  <c r="N7" i="7" s="1"/>
  <c r="E6" i="7"/>
  <c r="M6" i="7" s="1"/>
  <c r="S6" i="7" s="1"/>
  <c r="T6" i="7" s="1"/>
  <c r="H13" i="10" s="1"/>
  <c r="I13" i="10" s="1"/>
  <c r="E12" i="7"/>
  <c r="M12" i="7" s="1"/>
  <c r="S12" i="7" s="1"/>
  <c r="T12" i="7" s="1"/>
  <c r="J6" i="7"/>
  <c r="R6" i="7" s="1"/>
  <c r="S296" i="10"/>
  <c r="S308" i="10"/>
  <c r="J11" i="7"/>
  <c r="R11" i="7" s="1"/>
  <c r="J14" i="7"/>
  <c r="R14" i="7" s="1"/>
  <c r="J9" i="7"/>
  <c r="R9" i="7" s="1"/>
  <c r="K39" i="7"/>
  <c r="M39" i="7"/>
  <c r="S39" i="7" s="1"/>
  <c r="T39" i="7" s="1"/>
  <c r="K48" i="7"/>
  <c r="K40" i="7"/>
  <c r="K52" i="7"/>
  <c r="K42" i="7"/>
  <c r="K56" i="7"/>
  <c r="K29" i="7"/>
  <c r="K53" i="7"/>
  <c r="K28" i="7"/>
  <c r="K49" i="7"/>
  <c r="K44" i="7"/>
  <c r="K55" i="7"/>
  <c r="K33" i="7"/>
  <c r="K31" i="7"/>
  <c r="K59" i="7"/>
  <c r="K50" i="7"/>
  <c r="K37" i="7"/>
  <c r="K57" i="7"/>
  <c r="K24" i="7"/>
  <c r="K58" i="7"/>
  <c r="K27" i="7"/>
  <c r="K45" i="7"/>
  <c r="K51" i="7"/>
  <c r="K41" i="7"/>
  <c r="K32" i="7"/>
  <c r="K54" i="7"/>
  <c r="K35" i="7"/>
  <c r="K46" i="7"/>
  <c r="K30" i="7"/>
  <c r="K26" i="7"/>
  <c r="K38" i="7"/>
  <c r="K34" i="7"/>
  <c r="K47" i="7"/>
  <c r="K36" i="7"/>
  <c r="K25" i="7"/>
  <c r="K43" i="7"/>
  <c r="E11" i="9"/>
  <c r="R312" i="10" s="1"/>
  <c r="I312" i="10" s="1"/>
  <c r="P372" i="10"/>
  <c r="I374" i="10"/>
  <c r="F11" i="9"/>
  <c r="B7" i="13" s="1"/>
  <c r="R15" i="7"/>
  <c r="M15" i="7"/>
  <c r="N15" i="7"/>
  <c r="E19" i="9"/>
  <c r="F19" i="9"/>
  <c r="O16" i="12"/>
  <c r="P16" i="12" s="1"/>
  <c r="Q15" i="12" s="1"/>
  <c r="U16" i="12"/>
  <c r="S378" i="10" s="1"/>
  <c r="I371" i="10"/>
  <c r="I376" i="10"/>
  <c r="I370" i="10"/>
  <c r="I378" i="10"/>
  <c r="F17" i="9"/>
  <c r="S349" i="10" s="1"/>
  <c r="F15" i="9"/>
  <c r="B159" i="13" s="1"/>
  <c r="G19" i="8"/>
  <c r="E13" i="9"/>
  <c r="B3" i="6"/>
  <c r="G16" i="8"/>
  <c r="F16" i="8"/>
  <c r="F12" i="8"/>
  <c r="G12" i="8"/>
  <c r="G14" i="8"/>
  <c r="F14" i="8"/>
  <c r="B83" i="13"/>
  <c r="B102" i="13"/>
  <c r="S326" i="10"/>
  <c r="S329" i="10"/>
  <c r="S327" i="10"/>
  <c r="S325" i="10"/>
  <c r="S330" i="10"/>
  <c r="S328" i="10"/>
  <c r="G15" i="8"/>
  <c r="F15" i="8"/>
  <c r="V10" i="12" l="1"/>
  <c r="Q372" i="10" s="1"/>
  <c r="R372" i="10"/>
  <c r="R378" i="10"/>
  <c r="R354" i="10"/>
  <c r="K13" i="7"/>
  <c r="R352" i="10"/>
  <c r="I352" i="10" s="1"/>
  <c r="R349" i="10"/>
  <c r="I349" i="10" s="1"/>
  <c r="R351" i="10"/>
  <c r="I351" i="10" s="1"/>
  <c r="K10" i="7"/>
  <c r="U9" i="12"/>
  <c r="S371" i="10" s="1"/>
  <c r="K8" i="7"/>
  <c r="R353" i="10"/>
  <c r="P376" i="10"/>
  <c r="R376" i="10"/>
  <c r="V14" i="12"/>
  <c r="Q376" i="10" s="1"/>
  <c r="R340" i="10"/>
  <c r="I340" i="10" s="1"/>
  <c r="R342" i="10"/>
  <c r="R339" i="10"/>
  <c r="I339" i="10" s="1"/>
  <c r="R337" i="10"/>
  <c r="I337" i="10" s="1"/>
  <c r="H373" i="10"/>
  <c r="U14" i="12"/>
  <c r="S376" i="10" s="1"/>
  <c r="B22" i="14"/>
  <c r="B23" i="14" s="1"/>
  <c r="B24" i="14"/>
  <c r="S13" i="12"/>
  <c r="E16" i="9" s="1"/>
  <c r="R348" i="10" s="1"/>
  <c r="U10" i="12"/>
  <c r="S372" i="10" s="1"/>
  <c r="K5" i="7"/>
  <c r="F3" i="7"/>
  <c r="B32" i="9" s="1"/>
  <c r="K14" i="7"/>
  <c r="R313" i="10"/>
  <c r="I313" i="10" s="1"/>
  <c r="K6" i="7"/>
  <c r="P374" i="10"/>
  <c r="J3" i="7"/>
  <c r="B37" i="9" s="1"/>
  <c r="K7" i="7"/>
  <c r="K4" i="7"/>
  <c r="R341" i="10"/>
  <c r="R374" i="10"/>
  <c r="R338" i="10"/>
  <c r="I338" i="10" s="1"/>
  <c r="V12" i="12"/>
  <c r="Q374" i="10" s="1"/>
  <c r="K12" i="7"/>
  <c r="K11" i="7"/>
  <c r="E3" i="7"/>
  <c r="B27" i="9" s="1"/>
  <c r="U12" i="12"/>
  <c r="S374" i="10" s="1"/>
  <c r="K9" i="7"/>
  <c r="R370" i="10"/>
  <c r="U8" i="12"/>
  <c r="S370" i="10" s="1"/>
  <c r="R315" i="10"/>
  <c r="I315" i="10" s="1"/>
  <c r="P370" i="10"/>
  <c r="R318" i="10"/>
  <c r="R316" i="10"/>
  <c r="I316" i="10" s="1"/>
  <c r="F16" i="9"/>
  <c r="S345" i="10" s="1"/>
  <c r="H28" i="10"/>
  <c r="I28" i="10" s="1"/>
  <c r="H12" i="10"/>
  <c r="I12" i="10" s="1"/>
  <c r="H23" i="10"/>
  <c r="I23" i="10" s="1"/>
  <c r="H21" i="10"/>
  <c r="I21" i="10" s="1"/>
  <c r="H25" i="10"/>
  <c r="I25" i="10" s="1"/>
  <c r="H24" i="10"/>
  <c r="I24" i="10" s="1"/>
  <c r="H20" i="10"/>
  <c r="I20" i="10" s="1"/>
  <c r="H32" i="10"/>
  <c r="I32" i="10" s="1"/>
  <c r="H10" i="10"/>
  <c r="I10" i="10" s="1"/>
  <c r="H9" i="10"/>
  <c r="I9" i="10" s="1"/>
  <c r="H26" i="10"/>
  <c r="I26" i="10" s="1"/>
  <c r="H7" i="10"/>
  <c r="I7" i="10" s="1"/>
  <c r="H8" i="10"/>
  <c r="I8" i="10" s="1"/>
  <c r="H103" i="10"/>
  <c r="I103" i="10" s="1"/>
  <c r="H27" i="10"/>
  <c r="I27" i="10" s="1"/>
  <c r="H105" i="10"/>
  <c r="I105" i="10" s="1"/>
  <c r="H29" i="10"/>
  <c r="I29" i="10" s="1"/>
  <c r="H33" i="10"/>
  <c r="I33" i="10" s="1"/>
  <c r="H30" i="10"/>
  <c r="I30" i="10" s="1"/>
  <c r="H34" i="10"/>
  <c r="I34" i="10" s="1"/>
  <c r="H6" i="10"/>
  <c r="I6" i="10" s="1"/>
  <c r="H3" i="10"/>
  <c r="I3" i="10" s="1"/>
  <c r="H4" i="10"/>
  <c r="I4" i="10" s="1"/>
  <c r="H16" i="10"/>
  <c r="I16" i="10" s="1"/>
  <c r="H15" i="10"/>
  <c r="I15" i="10" s="1"/>
  <c r="H14" i="10"/>
  <c r="I14" i="10" s="1"/>
  <c r="H18" i="10"/>
  <c r="I18" i="10" s="1"/>
  <c r="H19" i="10"/>
  <c r="I19" i="10" s="1"/>
  <c r="H17" i="10"/>
  <c r="I17" i="10" s="1"/>
  <c r="H41" i="10"/>
  <c r="I41" i="10" s="1"/>
  <c r="H40" i="10"/>
  <c r="I40" i="10" s="1"/>
  <c r="R317" i="10"/>
  <c r="R314" i="10"/>
  <c r="I314" i="10" s="1"/>
  <c r="H113" i="10"/>
  <c r="I113" i="10" s="1"/>
  <c r="S318" i="10"/>
  <c r="H39" i="10"/>
  <c r="I39" i="10" s="1"/>
  <c r="R371" i="10"/>
  <c r="H37" i="10"/>
  <c r="I37" i="10" s="1"/>
  <c r="F12" i="9"/>
  <c r="S321" i="10" s="1"/>
  <c r="H36" i="10"/>
  <c r="I36" i="10" s="1"/>
  <c r="H35" i="10"/>
  <c r="I35" i="10" s="1"/>
  <c r="E12" i="9"/>
  <c r="R321" i="10" s="1"/>
  <c r="I321" i="10" s="1"/>
  <c r="H100" i="10"/>
  <c r="I100" i="10" s="1"/>
  <c r="P371" i="10"/>
  <c r="V9" i="12"/>
  <c r="Q371" i="10" s="1"/>
  <c r="S312" i="10"/>
  <c r="B26" i="13"/>
  <c r="B29" i="13" s="1"/>
  <c r="S314" i="10"/>
  <c r="S315" i="10"/>
  <c r="S316" i="10"/>
  <c r="H101" i="10"/>
  <c r="I101" i="10" s="1"/>
  <c r="S317" i="10"/>
  <c r="S313" i="10"/>
  <c r="G15" i="7"/>
  <c r="G22" i="7"/>
  <c r="O22" i="7" s="1"/>
  <c r="G18" i="7"/>
  <c r="O18" i="7" s="1"/>
  <c r="G21" i="7"/>
  <c r="O21" i="7" s="1"/>
  <c r="G17" i="7"/>
  <c r="O17" i="7" s="1"/>
  <c r="G20" i="7"/>
  <c r="O20" i="7" s="1"/>
  <c r="G23" i="7"/>
  <c r="O23" i="7" s="1"/>
  <c r="G16" i="7"/>
  <c r="O16" i="7" s="1"/>
  <c r="G19" i="7"/>
  <c r="O19" i="7" s="1"/>
  <c r="B330" i="13"/>
  <c r="S364" i="10"/>
  <c r="S365" i="10"/>
  <c r="S361" i="10"/>
  <c r="S363" i="10"/>
  <c r="S366" i="10"/>
  <c r="B311" i="13"/>
  <c r="S362" i="10"/>
  <c r="R364" i="10"/>
  <c r="I364" i="10" s="1"/>
  <c r="R365" i="10"/>
  <c r="I365" i="10" s="1"/>
  <c r="R366" i="10"/>
  <c r="I366" i="10" s="1"/>
  <c r="R363" i="10"/>
  <c r="I363" i="10" s="1"/>
  <c r="R362" i="10"/>
  <c r="I362" i="10" s="1"/>
  <c r="R361" i="10"/>
  <c r="I361" i="10" s="1"/>
  <c r="S15" i="12"/>
  <c r="P377" i="10"/>
  <c r="S11" i="12"/>
  <c r="P373" i="10"/>
  <c r="S346" i="10"/>
  <c r="B216" i="13"/>
  <c r="B219" i="13" s="1"/>
  <c r="B235" i="13"/>
  <c r="B238" i="13" s="1"/>
  <c r="S352" i="10"/>
  <c r="S350" i="10"/>
  <c r="B254" i="13"/>
  <c r="B256" i="13" s="1"/>
  <c r="S354" i="10"/>
  <c r="S351" i="10"/>
  <c r="S353" i="10"/>
  <c r="S341" i="10"/>
  <c r="S337" i="10"/>
  <c r="S339" i="10"/>
  <c r="S338" i="10"/>
  <c r="S340" i="10"/>
  <c r="B178" i="13"/>
  <c r="B180" i="13" s="1"/>
  <c r="S342" i="10"/>
  <c r="R327" i="10"/>
  <c r="I327" i="10" s="1"/>
  <c r="R325" i="10"/>
  <c r="I325" i="10" s="1"/>
  <c r="R328" i="10"/>
  <c r="I328" i="10" s="1"/>
  <c r="R326" i="10"/>
  <c r="I326" i="10" s="1"/>
  <c r="R329" i="10"/>
  <c r="R330" i="10"/>
  <c r="B104" i="13"/>
  <c r="B105" i="13"/>
  <c r="B85" i="13"/>
  <c r="B86" i="13"/>
  <c r="B161" i="13"/>
  <c r="B162" i="13"/>
  <c r="B9" i="13"/>
  <c r="B10" i="13"/>
  <c r="B197" i="13" l="1"/>
  <c r="B200" i="13" s="1"/>
  <c r="R343" i="10"/>
  <c r="I343" i="10" s="1"/>
  <c r="R344" i="10"/>
  <c r="I344" i="10" s="1"/>
  <c r="R346" i="10"/>
  <c r="I346" i="10" s="1"/>
  <c r="R347" i="10"/>
  <c r="R375" i="10"/>
  <c r="U13" i="12"/>
  <c r="S375" i="10" s="1"/>
  <c r="V13" i="12"/>
  <c r="Q375" i="10" s="1"/>
  <c r="R345" i="10"/>
  <c r="I345" i="10" s="1"/>
  <c r="S344" i="10"/>
  <c r="S343" i="10"/>
  <c r="S347" i="10"/>
  <c r="S348" i="10"/>
  <c r="S324" i="10"/>
  <c r="R320" i="10"/>
  <c r="I320" i="10" s="1"/>
  <c r="R324" i="10"/>
  <c r="R322" i="10"/>
  <c r="I322" i="10" s="1"/>
  <c r="B28" i="13"/>
  <c r="B31" i="13" s="1"/>
  <c r="R323" i="10"/>
  <c r="S320" i="10"/>
  <c r="S323" i="10"/>
  <c r="S322" i="10"/>
  <c r="S319" i="10"/>
  <c r="B45" i="13"/>
  <c r="B64" i="13"/>
  <c r="R319" i="10"/>
  <c r="I319" i="10" s="1"/>
  <c r="B314" i="13"/>
  <c r="U365" i="10" s="1"/>
  <c r="B313" i="13"/>
  <c r="B332" i="13"/>
  <c r="B333" i="13"/>
  <c r="U366" i="10" s="1"/>
  <c r="F18" i="9"/>
  <c r="R377" i="10"/>
  <c r="V15" i="12"/>
  <c r="Q377" i="10" s="1"/>
  <c r="U15" i="12"/>
  <c r="S377" i="10" s="1"/>
  <c r="E18" i="9"/>
  <c r="V11" i="12"/>
  <c r="Q373" i="10" s="1"/>
  <c r="U11" i="12"/>
  <c r="S373" i="10" s="1"/>
  <c r="E14" i="9"/>
  <c r="R373" i="10"/>
  <c r="F14" i="9"/>
  <c r="O15" i="7"/>
  <c r="G3" i="7"/>
  <c r="B74" i="9" s="1"/>
  <c r="B199" i="13"/>
  <c r="B202" i="13" s="1"/>
  <c r="B237" i="13"/>
  <c r="B240" i="13" s="1"/>
  <c r="B218" i="13"/>
  <c r="B221" i="13" s="1"/>
  <c r="B257" i="13"/>
  <c r="B259" i="13" s="1"/>
  <c r="B181" i="13"/>
  <c r="B183" i="13" s="1"/>
  <c r="B88" i="13"/>
  <c r="B89" i="13" s="1"/>
  <c r="B107" i="13"/>
  <c r="Q330" i="10" s="1"/>
  <c r="I330" i="10" s="1"/>
  <c r="B12" i="13"/>
  <c r="B164" i="13"/>
  <c r="B67" i="13" l="1"/>
  <c r="B66" i="13"/>
  <c r="B47" i="13"/>
  <c r="B48" i="13"/>
  <c r="R357" i="10"/>
  <c r="I357" i="10" s="1"/>
  <c r="R360" i="10"/>
  <c r="R356" i="10"/>
  <c r="I356" i="10" s="1"/>
  <c r="R358" i="10"/>
  <c r="I358" i="10" s="1"/>
  <c r="R359" i="10"/>
  <c r="R355" i="10"/>
  <c r="I355" i="10" s="1"/>
  <c r="S331" i="10"/>
  <c r="S332" i="10"/>
  <c r="S333" i="10"/>
  <c r="B121" i="13"/>
  <c r="S336" i="10"/>
  <c r="B140" i="13"/>
  <c r="S334" i="10"/>
  <c r="S335" i="10"/>
  <c r="T365" i="10"/>
  <c r="B316" i="13"/>
  <c r="R336" i="10"/>
  <c r="R334" i="10"/>
  <c r="I334" i="10" s="1"/>
  <c r="R335" i="10"/>
  <c r="R333" i="10"/>
  <c r="I333" i="10" s="1"/>
  <c r="R331" i="10"/>
  <c r="I331" i="10" s="1"/>
  <c r="R332" i="10"/>
  <c r="I332" i="10" s="1"/>
  <c r="B273" i="13"/>
  <c r="S360" i="10"/>
  <c r="B292" i="13"/>
  <c r="S358" i="10"/>
  <c r="S356" i="10"/>
  <c r="S355" i="10"/>
  <c r="S359" i="10"/>
  <c r="S357" i="10"/>
  <c r="T366" i="10"/>
  <c r="B335" i="13"/>
  <c r="Q348" i="10"/>
  <c r="I348" i="10" s="1"/>
  <c r="B222" i="13"/>
  <c r="B224" i="13"/>
  <c r="T348" i="10" s="1"/>
  <c r="B110" i="13"/>
  <c r="T330" i="10" s="1"/>
  <c r="B108" i="13"/>
  <c r="B91" i="13"/>
  <c r="T329" i="10" s="1"/>
  <c r="Q329" i="10"/>
  <c r="I329" i="10" s="1"/>
  <c r="Q347" i="10"/>
  <c r="I347" i="10" s="1"/>
  <c r="B205" i="13"/>
  <c r="B203" i="13"/>
  <c r="Q354" i="10"/>
  <c r="I354" i="10" s="1"/>
  <c r="B260" i="13"/>
  <c r="B262" i="13"/>
  <c r="Q342" i="10"/>
  <c r="I342" i="10" s="1"/>
  <c r="B186" i="13"/>
  <c r="B184" i="13"/>
  <c r="Q317" i="10"/>
  <c r="I317" i="10" s="1"/>
  <c r="B15" i="13"/>
  <c r="B13" i="13"/>
  <c r="Q353" i="10"/>
  <c r="I353" i="10" s="1"/>
  <c r="B243" i="13"/>
  <c r="B241" i="13"/>
  <c r="Q341" i="10"/>
  <c r="I341" i="10" s="1"/>
  <c r="B165" i="13"/>
  <c r="B167" i="13"/>
  <c r="Q318" i="10"/>
  <c r="I318" i="10" s="1"/>
  <c r="B32" i="13"/>
  <c r="B34" i="13"/>
  <c r="B69" i="13" l="1"/>
  <c r="B50" i="13"/>
  <c r="B275" i="13"/>
  <c r="B276" i="13"/>
  <c r="B317" i="13"/>
  <c r="B319" i="13"/>
  <c r="B320" i="13" s="1"/>
  <c r="B124" i="13"/>
  <c r="B123" i="13"/>
  <c r="B336" i="13"/>
  <c r="B338" i="13"/>
  <c r="B339" i="13" s="1"/>
  <c r="B143" i="13"/>
  <c r="B142" i="13"/>
  <c r="B295" i="13"/>
  <c r="B294" i="13"/>
  <c r="B92" i="13"/>
  <c r="U329" i="10" s="1"/>
  <c r="B111" i="13"/>
  <c r="U330" i="10" s="1"/>
  <c r="B225" i="13"/>
  <c r="U348" i="10" s="1"/>
  <c r="T341" i="10"/>
  <c r="B168" i="13"/>
  <c r="U341" i="10" s="1"/>
  <c r="T353" i="10"/>
  <c r="B244" i="13"/>
  <c r="U353" i="10" s="1"/>
  <c r="B35" i="13"/>
  <c r="U318" i="10" s="1"/>
  <c r="T318" i="10"/>
  <c r="T354" i="10"/>
  <c r="B263" i="13"/>
  <c r="U354" i="10" s="1"/>
  <c r="B187" i="13"/>
  <c r="U342" i="10" s="1"/>
  <c r="T342" i="10"/>
  <c r="T347" i="10"/>
  <c r="B206" i="13"/>
  <c r="U347" i="10" s="1"/>
  <c r="B16" i="13"/>
  <c r="U317" i="10" s="1"/>
  <c r="T317" i="10"/>
  <c r="B72" i="13" l="1"/>
  <c r="Q324" i="10"/>
  <c r="I324" i="10" s="1"/>
  <c r="B70" i="13"/>
  <c r="Q323" i="10"/>
  <c r="I323" i="10" s="1"/>
  <c r="B53" i="13"/>
  <c r="B51" i="13"/>
  <c r="B145" i="13"/>
  <c r="B148" i="13" s="1"/>
  <c r="B126" i="13"/>
  <c r="Q335" i="10" s="1"/>
  <c r="I335" i="10" s="1"/>
  <c r="B297" i="13"/>
  <c r="B278" i="13"/>
  <c r="B73" i="13" l="1"/>
  <c r="U324" i="10" s="1"/>
  <c r="T324" i="10"/>
  <c r="B129" i="13"/>
  <c r="B130" i="13" s="1"/>
  <c r="U335" i="10" s="1"/>
  <c r="T323" i="10"/>
  <c r="B54" i="13"/>
  <c r="U323" i="10" s="1"/>
  <c r="B146" i="13"/>
  <c r="Q336" i="10"/>
  <c r="I336" i="10" s="1"/>
  <c r="H6" i="7" s="1"/>
  <c r="P6" i="7" s="1"/>
  <c r="B127" i="13"/>
  <c r="Q359" i="10"/>
  <c r="I359" i="10" s="1"/>
  <c r="B279" i="13"/>
  <c r="B281" i="13"/>
  <c r="Q360" i="10"/>
  <c r="I360" i="10" s="1"/>
  <c r="H9" i="7" s="1"/>
  <c r="P9" i="7" s="1"/>
  <c r="B300" i="13"/>
  <c r="B298" i="13"/>
  <c r="B149" i="13"/>
  <c r="U336" i="10" s="1"/>
  <c r="T336" i="10"/>
  <c r="H5" i="7" l="1"/>
  <c r="P5" i="7" s="1"/>
  <c r="H8" i="7"/>
  <c r="P8" i="7" s="1"/>
  <c r="H4" i="7"/>
  <c r="P4" i="7" s="1"/>
  <c r="H10" i="7"/>
  <c r="P10" i="7" s="1"/>
  <c r="H11" i="7"/>
  <c r="P11" i="7" s="1"/>
  <c r="H7" i="7"/>
  <c r="P7" i="7" s="1"/>
  <c r="H14" i="7"/>
  <c r="P14" i="7" s="1"/>
  <c r="H12" i="7"/>
  <c r="P12" i="7" s="1"/>
  <c r="H13" i="7"/>
  <c r="P13" i="7" s="1"/>
  <c r="T335" i="10"/>
  <c r="H18" i="7"/>
  <c r="H16" i="7"/>
  <c r="H17" i="7"/>
  <c r="H21" i="7"/>
  <c r="T360" i="10"/>
  <c r="B301" i="13"/>
  <c r="U360" i="10" s="1"/>
  <c r="H19" i="7"/>
  <c r="H23" i="7"/>
  <c r="H22" i="7"/>
  <c r="H15" i="7"/>
  <c r="K15" i="7" s="1"/>
  <c r="T359" i="10"/>
  <c r="B282" i="13"/>
  <c r="U359" i="10" s="1"/>
  <c r="H20" i="7"/>
  <c r="P21" i="7" l="1"/>
  <c r="S21" i="7" s="1"/>
  <c r="T21" i="7" s="1"/>
  <c r="H87" i="10" s="1"/>
  <c r="I87" i="10" s="1"/>
  <c r="K21" i="7"/>
  <c r="P22" i="7"/>
  <c r="S22" i="7" s="1"/>
  <c r="T22" i="7" s="1"/>
  <c r="H90" i="10" s="1"/>
  <c r="I90" i="10" s="1"/>
  <c r="K22" i="7"/>
  <c r="P17" i="7"/>
  <c r="S17" i="7" s="1"/>
  <c r="T17" i="7" s="1"/>
  <c r="H53" i="10" s="1"/>
  <c r="I53" i="10" s="1"/>
  <c r="K17" i="7"/>
  <c r="P16" i="7"/>
  <c r="S16" i="7" s="1"/>
  <c r="T16" i="7" s="1"/>
  <c r="H45" i="10" s="1"/>
  <c r="I45" i="10" s="1"/>
  <c r="K16" i="7"/>
  <c r="P20" i="7"/>
  <c r="S20" i="7" s="1"/>
  <c r="T20" i="7" s="1"/>
  <c r="H74" i="10" s="1"/>
  <c r="I74" i="10" s="1"/>
  <c r="K20" i="7"/>
  <c r="P19" i="7"/>
  <c r="S19" i="7" s="1"/>
  <c r="T19" i="7" s="1"/>
  <c r="H67" i="10" s="1"/>
  <c r="I67" i="10" s="1"/>
  <c r="K19" i="7"/>
  <c r="P18" i="7"/>
  <c r="S18" i="7" s="1"/>
  <c r="T18" i="7" s="1"/>
  <c r="H57" i="10" s="1"/>
  <c r="I57" i="10" s="1"/>
  <c r="K18" i="7"/>
  <c r="K23" i="7"/>
  <c r="P23" i="7"/>
  <c r="S23" i="7" s="1"/>
  <c r="T23" i="7" s="1"/>
  <c r="P15" i="7"/>
  <c r="S15" i="7" s="1"/>
  <c r="T15" i="7" s="1"/>
  <c r="H3" i="7"/>
  <c r="B70" i="9" s="1"/>
  <c r="H80" i="10" l="1"/>
  <c r="I80" i="10" s="1"/>
  <c r="H83" i="10"/>
  <c r="I83" i="10" s="1"/>
  <c r="H81" i="10"/>
  <c r="I81" i="10" s="1"/>
  <c r="H85" i="10"/>
  <c r="I85" i="10" s="1"/>
  <c r="H44" i="10"/>
  <c r="I44" i="10" s="1"/>
  <c r="H88" i="10"/>
  <c r="I88" i="10" s="1"/>
  <c r="H46" i="10"/>
  <c r="I46" i="10" s="1"/>
  <c r="H84" i="10"/>
  <c r="I84" i="10" s="1"/>
  <c r="H86" i="10"/>
  <c r="I86" i="10" s="1"/>
  <c r="H54" i="10"/>
  <c r="I54" i="10" s="1"/>
  <c r="H78" i="10"/>
  <c r="I78" i="10" s="1"/>
  <c r="H52" i="10"/>
  <c r="I52" i="10" s="1"/>
  <c r="H82" i="10"/>
  <c r="I82" i="10" s="1"/>
  <c r="H50" i="10"/>
  <c r="I50" i="10" s="1"/>
  <c r="H72" i="10"/>
  <c r="I72" i="10" s="1"/>
  <c r="H51" i="10"/>
  <c r="I51" i="10" s="1"/>
  <c r="H66" i="10"/>
  <c r="I66" i="10" s="1"/>
  <c r="H64" i="10"/>
  <c r="I64" i="10" s="1"/>
  <c r="H68" i="10"/>
  <c r="I68" i="10" s="1"/>
  <c r="H65" i="10"/>
  <c r="I65" i="10" s="1"/>
  <c r="H49" i="10"/>
  <c r="I49" i="10" s="1"/>
  <c r="H89" i="10"/>
  <c r="I89" i="10" s="1"/>
  <c r="H70" i="10"/>
  <c r="I70" i="10" s="1"/>
  <c r="H47" i="10"/>
  <c r="I47" i="10" s="1"/>
  <c r="H75" i="10"/>
  <c r="I75" i="10" s="1"/>
  <c r="H71" i="10"/>
  <c r="I71" i="10" s="1"/>
  <c r="H48" i="10"/>
  <c r="I48" i="10" s="1"/>
  <c r="H69" i="10"/>
  <c r="I69" i="10" s="1"/>
  <c r="H79" i="10"/>
  <c r="I79" i="10" s="1"/>
  <c r="H73" i="10"/>
  <c r="I73" i="10" s="1"/>
  <c r="H76" i="10"/>
  <c r="I76" i="10" s="1"/>
  <c r="H77" i="10"/>
  <c r="I77" i="10" s="1"/>
  <c r="H62" i="10"/>
  <c r="I62" i="10" s="1"/>
  <c r="H56" i="10"/>
  <c r="I56" i="10" s="1"/>
  <c r="H60" i="10"/>
  <c r="I60" i="10" s="1"/>
  <c r="H63" i="10"/>
  <c r="I63" i="10" s="1"/>
  <c r="H59" i="10"/>
  <c r="I59" i="10" s="1"/>
  <c r="H55" i="10"/>
  <c r="I55" i="10" s="1"/>
  <c r="H58" i="10"/>
  <c r="I58" i="10" s="1"/>
  <c r="H61" i="10"/>
  <c r="I61" i="10" s="1"/>
  <c r="H93" i="10"/>
  <c r="I93" i="10" s="1"/>
  <c r="H92" i="10"/>
  <c r="I92" i="10" s="1"/>
  <c r="H95" i="10"/>
  <c r="I95" i="10" s="1"/>
  <c r="H97" i="10"/>
  <c r="I97" i="10" s="1"/>
  <c r="H96" i="10"/>
  <c r="I96" i="10" s="1"/>
  <c r="H94" i="10"/>
  <c r="I94" i="10" s="1"/>
  <c r="H91" i="10"/>
  <c r="I91" i="10" s="1"/>
  <c r="H98" i="10"/>
  <c r="I98" i="10" s="1"/>
  <c r="H42" i="10"/>
  <c r="I42" i="10" s="1"/>
  <c r="H43" i="10"/>
  <c r="I43" i="10" s="1"/>
  <c r="U15" i="7" l="1"/>
  <c r="W15" i="7" s="1"/>
  <c r="V15" i="7" s="1"/>
  <c r="U43" i="7"/>
  <c r="W43" i="7" s="1"/>
  <c r="V43" i="7" s="1"/>
  <c r="U51" i="7"/>
  <c r="W51" i="7" s="1"/>
  <c r="V51" i="7" s="1"/>
  <c r="U50" i="7"/>
  <c r="W50" i="7" s="1"/>
  <c r="V50" i="7" s="1"/>
  <c r="U48" i="7"/>
  <c r="W48" i="7" s="1"/>
  <c r="V48" i="7" s="1"/>
  <c r="U16" i="7"/>
  <c r="W16" i="7" s="1"/>
  <c r="V16" i="7" s="1"/>
  <c r="U4" i="7"/>
  <c r="U47" i="7"/>
  <c r="W47" i="7" s="1"/>
  <c r="V47" i="7" s="1"/>
  <c r="U10" i="7"/>
  <c r="W10" i="7" s="1"/>
  <c r="V10" i="7" s="1"/>
  <c r="U39" i="7"/>
  <c r="W39" i="7" s="1"/>
  <c r="V39" i="7" s="1"/>
  <c r="U7" i="7"/>
  <c r="W7" i="7" s="1"/>
  <c r="V7" i="7" s="1"/>
  <c r="U23" i="7"/>
  <c r="W23" i="7" s="1"/>
  <c r="V23" i="7" s="1"/>
  <c r="U9" i="7"/>
  <c r="W9" i="7" s="1"/>
  <c r="V9" i="7" s="1"/>
  <c r="U49" i="7"/>
  <c r="W49" i="7" s="1"/>
  <c r="V49" i="7" s="1"/>
  <c r="U14" i="7"/>
  <c r="W14" i="7" s="1"/>
  <c r="V14" i="7" s="1"/>
  <c r="U33" i="7"/>
  <c r="W33" i="7" s="1"/>
  <c r="V33" i="7" s="1"/>
  <c r="U21" i="7"/>
  <c r="W21" i="7" s="1"/>
  <c r="V21" i="7" s="1"/>
  <c r="U30" i="7"/>
  <c r="W30" i="7" s="1"/>
  <c r="V30" i="7" s="1"/>
  <c r="U22" i="7"/>
  <c r="W22" i="7" s="1"/>
  <c r="V22" i="7" s="1"/>
  <c r="U42" i="7"/>
  <c r="W42" i="7" s="1"/>
  <c r="V42" i="7" s="1"/>
  <c r="U26" i="7"/>
  <c r="W26" i="7" s="1"/>
  <c r="V26" i="7" s="1"/>
  <c r="U46" i="7"/>
  <c r="W46" i="7" s="1"/>
  <c r="V46" i="7" s="1"/>
  <c r="U44" i="7"/>
  <c r="W44" i="7" s="1"/>
  <c r="V44" i="7" s="1"/>
  <c r="U13" i="7"/>
  <c r="W13" i="7" s="1"/>
  <c r="V13" i="7" s="1"/>
  <c r="U5" i="7"/>
  <c r="W5" i="7" s="1"/>
  <c r="V5" i="7" s="1"/>
  <c r="U59" i="7"/>
  <c r="W59" i="7" s="1"/>
  <c r="V59" i="7" s="1"/>
  <c r="U55" i="7"/>
  <c r="W55" i="7" s="1"/>
  <c r="V55" i="7" s="1"/>
  <c r="U52" i="7"/>
  <c r="W52" i="7" s="1"/>
  <c r="V52" i="7" s="1"/>
  <c r="U17" i="7"/>
  <c r="W17" i="7" s="1"/>
  <c r="V17" i="7" s="1"/>
  <c r="U56" i="7"/>
  <c r="W56" i="7" s="1"/>
  <c r="V56" i="7" s="1"/>
  <c r="U28" i="7"/>
  <c r="W28" i="7" s="1"/>
  <c r="V28" i="7" s="1"/>
  <c r="U37" i="7"/>
  <c r="W37" i="7" s="1"/>
  <c r="V37" i="7" s="1"/>
  <c r="U32" i="7"/>
  <c r="W32" i="7" s="1"/>
  <c r="V32" i="7" s="1"/>
  <c r="U24" i="7"/>
  <c r="W24" i="7" s="1"/>
  <c r="V24" i="7" s="1"/>
  <c r="U12" i="7"/>
  <c r="W12" i="7" s="1"/>
  <c r="V12" i="7" s="1"/>
  <c r="U40" i="7"/>
  <c r="W40" i="7" s="1"/>
  <c r="V40" i="7" s="1"/>
  <c r="U45" i="7"/>
  <c r="W45" i="7" s="1"/>
  <c r="V45" i="7" s="1"/>
  <c r="U29" i="7"/>
  <c r="W29" i="7" s="1"/>
  <c r="V29" i="7" s="1"/>
  <c r="U57" i="7"/>
  <c r="W57" i="7" s="1"/>
  <c r="V57" i="7" s="1"/>
  <c r="U35" i="7"/>
  <c r="W35" i="7" s="1"/>
  <c r="V35" i="7" s="1"/>
  <c r="U58" i="7"/>
  <c r="W58" i="7" s="1"/>
  <c r="V58" i="7" s="1"/>
  <c r="U31" i="7"/>
  <c r="W31" i="7" s="1"/>
  <c r="V31" i="7" s="1"/>
  <c r="U36" i="7"/>
  <c r="W36" i="7" s="1"/>
  <c r="V36" i="7" s="1"/>
  <c r="U20" i="7"/>
  <c r="W20" i="7" s="1"/>
  <c r="V20" i="7" s="1"/>
  <c r="U6" i="7"/>
  <c r="W6" i="7" s="1"/>
  <c r="V6" i="7" s="1"/>
  <c r="U25" i="7"/>
  <c r="W25" i="7" s="1"/>
  <c r="V25" i="7" s="1"/>
  <c r="U41" i="7"/>
  <c r="W41" i="7" s="1"/>
  <c r="V41" i="7" s="1"/>
  <c r="U18" i="7"/>
  <c r="W18" i="7" s="1"/>
  <c r="V18" i="7" s="1"/>
  <c r="U11" i="7"/>
  <c r="W11" i="7" s="1"/>
  <c r="V11" i="7" s="1"/>
  <c r="U34" i="7"/>
  <c r="W34" i="7" s="1"/>
  <c r="V34" i="7" s="1"/>
  <c r="U54" i="7"/>
  <c r="W54" i="7" s="1"/>
  <c r="V54" i="7" s="1"/>
  <c r="U38" i="7"/>
  <c r="W38" i="7" s="1"/>
  <c r="V38" i="7" s="1"/>
  <c r="U19" i="7"/>
  <c r="W19" i="7" s="1"/>
  <c r="V19" i="7" s="1"/>
  <c r="U53" i="7"/>
  <c r="W53" i="7" s="1"/>
  <c r="V53" i="7" s="1"/>
  <c r="U8" i="7"/>
  <c r="W8" i="7" s="1"/>
  <c r="V8" i="7" s="1"/>
  <c r="U27" i="7"/>
  <c r="W27" i="7" s="1"/>
  <c r="V27" i="7" s="1"/>
  <c r="U3" i="7" l="1"/>
  <c r="B51" i="9" s="1"/>
  <c r="W4" i="7"/>
  <c r="V4" i="7" s="1"/>
  <c r="V3" i="7" s="1"/>
  <c r="W3" i="7" s="1"/>
  <c r="B21" i="9" s="1"/>
  <c r="B36" i="9" l="1"/>
  <c r="B26" i="9"/>
  <c r="B73" i="9"/>
  <c r="B31" i="9"/>
  <c r="B22" i="9"/>
  <c r="J3" i="10" s="1"/>
  <c r="B69" i="9"/>
  <c r="J4" i="10" l="1"/>
  <c r="J5" i="10" s="1"/>
  <c r="J6" i="10" s="1"/>
  <c r="J7" i="10" s="1"/>
  <c r="J8" i="10" s="1"/>
  <c r="J9" i="10" s="1"/>
  <c r="J10" i="10" s="1"/>
  <c r="J11" i="10" s="1"/>
  <c r="J12" i="10" s="1"/>
  <c r="J13" i="10" s="1"/>
  <c r="J14" i="10" s="1"/>
  <c r="J15" i="10" s="1"/>
  <c r="J16" i="10" s="1"/>
  <c r="J17" i="10" s="1"/>
  <c r="J18" i="10" s="1"/>
  <c r="J19" i="10" s="1"/>
  <c r="J20" i="10" s="1"/>
  <c r="J21" i="10" s="1"/>
  <c r="J22" i="10" s="1"/>
  <c r="J23" i="10" s="1"/>
  <c r="J24" i="10" s="1"/>
  <c r="J25" i="10" s="1"/>
  <c r="J26" i="10" s="1"/>
  <c r="J27" i="10" s="1"/>
  <c r="J28" i="10" s="1"/>
  <c r="J29" i="10" s="1"/>
  <c r="J30" i="10" s="1"/>
  <c r="J31" i="10" s="1"/>
  <c r="J32" i="10" s="1"/>
  <c r="J33" i="10" s="1"/>
  <c r="J34" i="10" s="1"/>
  <c r="J35" i="10" s="1"/>
  <c r="J36" i="10" s="1"/>
  <c r="J37" i="10" s="1"/>
  <c r="J38" i="10" s="1"/>
  <c r="J39" i="10" s="1"/>
  <c r="J40" i="10" s="1"/>
  <c r="J41" i="10" s="1"/>
  <c r="J42" i="10" s="1"/>
  <c r="J43" i="10" s="1"/>
  <c r="J44" i="10" s="1"/>
  <c r="J45" i="10" s="1"/>
  <c r="J46" i="10" s="1"/>
  <c r="J47" i="10" s="1"/>
  <c r="J48" i="10" s="1"/>
  <c r="J49" i="10" s="1"/>
  <c r="J50" i="10" s="1"/>
  <c r="J51" i="10" s="1"/>
  <c r="J52" i="10" s="1"/>
  <c r="J53" i="10" s="1"/>
  <c r="J54" i="10" s="1"/>
  <c r="J55" i="10" s="1"/>
  <c r="J56" i="10" s="1"/>
  <c r="J57" i="10" s="1"/>
  <c r="J58" i="10" s="1"/>
  <c r="J59" i="10" s="1"/>
  <c r="J60" i="10" s="1"/>
  <c r="J61" i="10" s="1"/>
  <c r="J62" i="10" s="1"/>
  <c r="J63" i="10" s="1"/>
  <c r="J64" i="10" s="1"/>
  <c r="J65" i="10" s="1"/>
  <c r="J66" i="10" s="1"/>
  <c r="J67" i="10" s="1"/>
  <c r="J68" i="10" s="1"/>
  <c r="J69" i="10" s="1"/>
  <c r="J70" i="10" s="1"/>
  <c r="J71" i="10" s="1"/>
  <c r="J72" i="10" s="1"/>
  <c r="J73" i="10" s="1"/>
  <c r="J74" i="10" s="1"/>
  <c r="J75" i="10" s="1"/>
  <c r="J76" i="10" s="1"/>
  <c r="J77" i="10" s="1"/>
  <c r="J78" i="10" s="1"/>
  <c r="J79" i="10" s="1"/>
  <c r="J80" i="10" s="1"/>
  <c r="J81" i="10" s="1"/>
  <c r="J82" i="10" s="1"/>
  <c r="J83" i="10" s="1"/>
  <c r="J84" i="10" s="1"/>
  <c r="J85" i="10" s="1"/>
  <c r="J86" i="10" s="1"/>
  <c r="J87" i="10" s="1"/>
  <c r="J88" i="10" s="1"/>
  <c r="J89" i="10" s="1"/>
  <c r="J90" i="10" s="1"/>
  <c r="J91" i="10" s="1"/>
  <c r="J92" i="10" s="1"/>
  <c r="J93" i="10" s="1"/>
  <c r="J94" i="10" s="1"/>
  <c r="J95" i="10" s="1"/>
  <c r="J96" i="10" s="1"/>
  <c r="J97" i="10" s="1"/>
  <c r="J98" i="10" s="1"/>
  <c r="J99" i="10" s="1"/>
  <c r="J100" i="10" s="1"/>
  <c r="J101" i="10" s="1"/>
  <c r="J102" i="10" s="1"/>
  <c r="J103" i="10" s="1"/>
  <c r="J104" i="10" s="1"/>
  <c r="J105" i="10" s="1"/>
  <c r="J106" i="10" s="1"/>
  <c r="J107" i="10" s="1"/>
  <c r="J108" i="10" s="1"/>
  <c r="J109" i="10" s="1"/>
  <c r="J110" i="10" s="1"/>
  <c r="J111" i="10" s="1"/>
  <c r="J112" i="10" s="1"/>
  <c r="J113" i="10" s="1"/>
  <c r="J114" i="10" s="1"/>
  <c r="J115" i="10" s="1"/>
  <c r="J116" i="10" s="1"/>
  <c r="J117" i="10" s="1"/>
  <c r="J118" i="10" s="1"/>
  <c r="F6" i="11"/>
  <c r="J6" i="8"/>
  <c r="D6" i="8"/>
  <c r="K6" i="8"/>
  <c r="F7" i="11"/>
  <c r="J7" i="8"/>
  <c r="G7" i="11"/>
  <c r="K7" i="8"/>
  <c r="D7" i="8"/>
  <c r="G6" i="11"/>
  <c r="D8" i="8"/>
  <c r="H7" i="11"/>
  <c r="H6" i="11"/>
  <c r="B66" i="9"/>
  <c r="K8" i="8"/>
  <c r="B67" i="9"/>
  <c r="J8" i="8"/>
  <c r="B65" i="9"/>
  <c r="K5" i="8"/>
  <c r="E8" i="11"/>
  <c r="J5" i="8"/>
  <c r="E5" i="11"/>
  <c r="E9" i="11"/>
  <c r="E7" i="11"/>
  <c r="D5" i="8"/>
  <c r="E6" i="11"/>
  <c r="E10" i="11"/>
  <c r="J7" i="11"/>
  <c r="K10" i="8"/>
  <c r="D10" i="8"/>
  <c r="J10" i="8"/>
  <c r="J6" i="11"/>
  <c r="L8" i="8" l="1"/>
  <c r="I8" i="8" s="1"/>
  <c r="E8" i="8"/>
  <c r="B45" i="9"/>
  <c r="E10" i="8"/>
  <c r="L10" i="8"/>
  <c r="I10" i="8" s="1"/>
  <c r="B43" i="9"/>
  <c r="B46" i="9"/>
  <c r="B68" i="9"/>
  <c r="E7" i="8"/>
  <c r="L7" i="8"/>
  <c r="I7" i="8" s="1"/>
  <c r="L6" i="8"/>
  <c r="I6" i="8" s="1"/>
  <c r="E6" i="8"/>
  <c r="B47" i="9"/>
  <c r="E5" i="8"/>
  <c r="L5" i="8"/>
  <c r="I5" i="8" s="1"/>
  <c r="B44" i="9"/>
  <c r="G6" i="8" l="1"/>
  <c r="F6" i="8"/>
  <c r="G10" i="8"/>
  <c r="F10" i="8"/>
  <c r="G7" i="8"/>
  <c r="F7" i="8"/>
  <c r="G5" i="8"/>
  <c r="F5" i="8"/>
  <c r="G8" i="8"/>
  <c r="F8" i="8"/>
  <c r="B49" i="9" l="1"/>
  <c r="B50" i="9" s="1"/>
  <c r="D3" i="8" l="1"/>
  <c r="C10" i="11"/>
  <c r="C5" i="11"/>
  <c r="B6" i="11"/>
  <c r="L6" i="11" s="1"/>
  <c r="C7" i="11"/>
  <c r="D6" i="11"/>
  <c r="K6" i="11" s="1"/>
  <c r="Q6" i="11" s="1"/>
  <c r="B7" i="11"/>
  <c r="L7" i="11" s="1"/>
  <c r="D11" i="11"/>
  <c r="K11" i="11" s="1"/>
  <c r="Q11" i="11" s="1"/>
  <c r="D8" i="11"/>
  <c r="K8" i="11" s="1"/>
  <c r="Q8" i="11" s="1"/>
  <c r="B11" i="11"/>
  <c r="B10" i="11"/>
  <c r="L10" i="11" s="1"/>
  <c r="D5" i="11"/>
  <c r="K5" i="11" s="1"/>
  <c r="C8" i="11"/>
  <c r="K3" i="8"/>
  <c r="K2" i="8" s="1"/>
  <c r="D9" i="11"/>
  <c r="K9" i="11" s="1"/>
  <c r="Q9" i="11" s="1"/>
  <c r="C11" i="11"/>
  <c r="C6" i="11"/>
  <c r="D10" i="11"/>
  <c r="K10" i="11" s="1"/>
  <c r="Q10" i="11" s="1"/>
  <c r="J3" i="8"/>
  <c r="J2" i="8" s="1"/>
  <c r="B8" i="11"/>
  <c r="L8" i="11" s="1"/>
  <c r="B9" i="11"/>
  <c r="L9" i="11" s="1"/>
  <c r="C9" i="11"/>
  <c r="D7" i="11"/>
  <c r="K7" i="11" s="1"/>
  <c r="B5" i="11"/>
  <c r="Q5" i="11" l="1"/>
  <c r="M10" i="11"/>
  <c r="M8" i="11"/>
  <c r="M7" i="11"/>
  <c r="M6" i="11"/>
  <c r="M9" i="11"/>
  <c r="B15" i="11"/>
  <c r="B36" i="11"/>
  <c r="L5" i="11"/>
  <c r="M5" i="11" s="1"/>
  <c r="L11" i="11"/>
  <c r="M11" i="11" s="1"/>
  <c r="B24" i="11"/>
  <c r="C24" i="11" s="1"/>
  <c r="B45" i="11"/>
  <c r="E3" i="8"/>
  <c r="B2" i="8"/>
  <c r="L3" i="8"/>
  <c r="I3" i="8" s="1"/>
  <c r="B37" i="11" l="1"/>
  <c r="B38" i="11" s="1"/>
  <c r="B39" i="11" s="1"/>
  <c r="B40" i="11" s="1"/>
  <c r="B41" i="11" s="1"/>
  <c r="B42" i="11" s="1"/>
  <c r="B43" i="11" s="1"/>
  <c r="B44" i="11" s="1"/>
  <c r="B16" i="11"/>
  <c r="C16" i="11" s="1"/>
  <c r="C15" i="11"/>
  <c r="B3" i="8"/>
  <c r="G3" i="8"/>
  <c r="F3" i="8"/>
  <c r="B17" i="11" l="1"/>
  <c r="B18" i="11" s="1"/>
  <c r="C3" i="8"/>
  <c r="B4" i="8"/>
  <c r="B5" i="8" s="1"/>
  <c r="B6" i="8" s="1"/>
  <c r="C4" i="8" l="1"/>
  <c r="C5" i="8" s="1"/>
  <c r="C6" i="8" s="1"/>
  <c r="C17" i="11"/>
  <c r="B19" i="11"/>
  <c r="C18" i="11"/>
  <c r="B7" i="8"/>
  <c r="C7" i="8" l="1"/>
  <c r="B8" i="8"/>
  <c r="B20" i="11"/>
  <c r="C19" i="11"/>
  <c r="B9" i="8" l="1"/>
  <c r="C8" i="8"/>
  <c r="B21" i="11"/>
  <c r="C20" i="11"/>
  <c r="C9" i="8" l="1"/>
  <c r="C21" i="11"/>
  <c r="B22" i="11"/>
  <c r="B10" i="8"/>
  <c r="B11" i="8" l="1"/>
  <c r="B23" i="11"/>
  <c r="C23" i="11" s="1"/>
  <c r="C22" i="11"/>
  <c r="C10" i="8"/>
  <c r="C14" i="11" l="1"/>
  <c r="D24" i="11" s="1"/>
  <c r="E24" i="11" s="1"/>
  <c r="B12" i="8"/>
  <c r="C12" i="8" s="1"/>
  <c r="D15" i="11" l="1"/>
  <c r="B13" i="8"/>
  <c r="C13" i="8" s="1"/>
  <c r="D16" i="11" l="1"/>
  <c r="E15" i="11"/>
  <c r="B14" i="8"/>
  <c r="E16" i="11" l="1"/>
  <c r="D17" i="11"/>
  <c r="B15" i="8"/>
  <c r="C14" i="8"/>
  <c r="C15" i="8" l="1"/>
  <c r="E17" i="11"/>
  <c r="D18" i="11"/>
  <c r="B16" i="8"/>
  <c r="E18" i="11" l="1"/>
  <c r="D19" i="11"/>
  <c r="B17" i="8"/>
  <c r="C16" i="8"/>
  <c r="D20" i="11" l="1"/>
  <c r="E19" i="11"/>
  <c r="B18" i="8"/>
  <c r="D21" i="11" l="1"/>
  <c r="E20" i="11"/>
  <c r="C18" i="8"/>
  <c r="B19" i="8"/>
  <c r="D22" i="11" l="1"/>
  <c r="E21" i="11"/>
  <c r="B20" i="8"/>
  <c r="C19" i="8"/>
  <c r="E22" i="11" l="1"/>
  <c r="D23" i="11"/>
  <c r="E23" i="11" s="1"/>
  <c r="C20" i="8"/>
  <c r="B21" i="8"/>
  <c r="B22" i="8" s="1"/>
  <c r="B23" i="8" s="1"/>
  <c r="E14" i="11" l="1"/>
  <c r="F24" i="11" s="1"/>
  <c r="G24" i="11" s="1"/>
  <c r="C21" i="8"/>
  <c r="C22" i="8" s="1"/>
  <c r="C23" i="8" s="1"/>
  <c r="F15" i="11" l="1"/>
  <c r="G15" i="11" s="1"/>
  <c r="F16" i="11" l="1"/>
  <c r="F17" i="11" s="1"/>
  <c r="G16" i="11" l="1"/>
  <c r="F18" i="11"/>
  <c r="G17" i="11"/>
  <c r="G18" i="11" l="1"/>
  <c r="F19" i="11"/>
  <c r="F20" i="11" l="1"/>
  <c r="G19" i="11"/>
  <c r="F21" i="11" l="1"/>
  <c r="G20" i="11"/>
  <c r="G21" i="11" l="1"/>
  <c r="F22" i="11"/>
  <c r="F23" i="11" l="1"/>
  <c r="G23" i="11" s="1"/>
  <c r="G22" i="11"/>
  <c r="G14" i="11" l="1"/>
  <c r="H24" i="11" s="1"/>
  <c r="I24" i="11" s="1"/>
  <c r="H15" i="11" l="1"/>
  <c r="H16" i="11" s="1"/>
  <c r="I15" i="11" l="1"/>
  <c r="H17" i="11"/>
  <c r="I16" i="11"/>
  <c r="H18" i="11" l="1"/>
  <c r="I17" i="11"/>
  <c r="I18" i="11" l="1"/>
  <c r="H19" i="11"/>
  <c r="I19" i="11" l="1"/>
  <c r="H20" i="11"/>
  <c r="H21" i="11" l="1"/>
  <c r="I20" i="11"/>
  <c r="H22" i="11" l="1"/>
  <c r="I21" i="11"/>
  <c r="H23" i="11" l="1"/>
  <c r="I23" i="11" s="1"/>
  <c r="I22" i="11"/>
  <c r="I14" i="11" l="1"/>
  <c r="B32" i="11" s="1"/>
  <c r="N7" i="11" s="1"/>
  <c r="O7" i="11" s="1"/>
  <c r="N6" i="11" l="1"/>
  <c r="O6" i="11" s="1"/>
  <c r="N10" i="11"/>
  <c r="O10" i="11" s="1"/>
  <c r="B29" i="11"/>
  <c r="N11" i="11"/>
  <c r="O11" i="11" s="1"/>
  <c r="C29" i="11"/>
  <c r="N5" i="11"/>
  <c r="O5" i="11" s="1"/>
  <c r="N9" i="11"/>
  <c r="O9" i="11" s="1"/>
  <c r="N8" i="11"/>
  <c r="O8" i="11" s="1"/>
  <c r="P7" i="11" l="1"/>
  <c r="Q7" i="11" s="1"/>
  <c r="C36" i="11" s="1"/>
  <c r="C30" i="11"/>
  <c r="B30" i="11" s="1"/>
  <c r="C41" i="11" l="1"/>
  <c r="C37" i="11"/>
  <c r="C45" i="11"/>
  <c r="C43" i="11"/>
  <c r="C38" i="11"/>
  <c r="C40" i="11"/>
  <c r="C39" i="11"/>
  <c r="C44" i="11"/>
  <c r="C42" i="11"/>
  <c r="C35" i="11" l="1"/>
  <c r="D45" i="11" s="1"/>
  <c r="E45" i="11" s="1"/>
  <c r="D36" i="11" l="1"/>
  <c r="D37" i="11" s="1"/>
  <c r="E36" i="11" l="1"/>
  <c r="E37" i="11"/>
  <c r="D38" i="11"/>
  <c r="D39" i="11" l="1"/>
  <c r="E38" i="11"/>
  <c r="D40" i="11" l="1"/>
  <c r="E39" i="11"/>
  <c r="D41" i="11" l="1"/>
  <c r="E40" i="11"/>
  <c r="D42" i="11" l="1"/>
  <c r="E41" i="11"/>
  <c r="D43" i="11" l="1"/>
  <c r="E42" i="11"/>
  <c r="E43" i="11" l="1"/>
  <c r="D44" i="11"/>
  <c r="E44" i="11" s="1"/>
  <c r="E35" i="11" l="1"/>
  <c r="F45" i="11" s="1"/>
  <c r="G45" i="11" s="1"/>
  <c r="F36" i="11" l="1"/>
  <c r="F37" i="11" s="1"/>
  <c r="G36" i="11" l="1"/>
  <c r="G37" i="11"/>
  <c r="F38" i="11"/>
  <c r="F39" i="11" l="1"/>
  <c r="G38" i="11"/>
  <c r="F40" i="11" l="1"/>
  <c r="G39" i="11"/>
  <c r="G40" i="11" l="1"/>
  <c r="F41" i="11"/>
  <c r="F42" i="11" l="1"/>
  <c r="G41" i="11"/>
  <c r="F43" i="11" l="1"/>
  <c r="G42" i="11"/>
  <c r="F44" i="11" l="1"/>
  <c r="G44" i="11" s="1"/>
  <c r="G43" i="11"/>
  <c r="G35" i="11" l="1"/>
  <c r="H45" i="11" s="1"/>
  <c r="I45" i="11" s="1"/>
  <c r="H36" i="11" l="1"/>
  <c r="I36" i="11" s="1"/>
  <c r="H37" i="11" l="1"/>
  <c r="H38" i="11" s="1"/>
  <c r="I37" i="11" l="1"/>
  <c r="H39" i="11"/>
  <c r="I38" i="11"/>
  <c r="I39" i="11" l="1"/>
  <c r="H40" i="11"/>
  <c r="H41" i="11" l="1"/>
  <c r="I40" i="11"/>
  <c r="I41" i="11" l="1"/>
  <c r="H42" i="11"/>
  <c r="H43" i="11" l="1"/>
  <c r="I42" i="11"/>
  <c r="I43" i="11" l="1"/>
  <c r="H44" i="11"/>
  <c r="I44" i="11" s="1"/>
  <c r="I35" i="11" l="1"/>
  <c r="B48" i="11" s="1"/>
  <c r="B49" i="11" l="1"/>
  <c r="C48" i="11"/>
  <c r="C47" i="11" s="1"/>
  <c r="E90" i="10" l="1"/>
  <c r="E72" i="10"/>
  <c r="E114" i="10"/>
  <c r="E112" i="10" l="1"/>
  <c r="E117" i="10"/>
  <c r="E6" i="10"/>
  <c r="E35" i="10"/>
  <c r="E111" i="10"/>
  <c r="E14" i="10"/>
  <c r="E3" i="10"/>
  <c r="E95" i="10"/>
  <c r="E21" i="10"/>
  <c r="E63" i="10"/>
  <c r="E118" i="10"/>
  <c r="E113" i="10"/>
  <c r="E109" i="10"/>
  <c r="E110" i="10"/>
  <c r="E28" i="10"/>
  <c r="E85" i="10"/>
  <c r="E108" i="10"/>
  <c r="E53" i="10"/>
  <c r="E116" i="10"/>
  <c r="E77" i="10"/>
  <c r="E115" i="10" l="1"/>
</calcChain>
</file>

<file path=xl/connections.xml><?xml version="1.0" encoding="utf-8"?>
<connections xmlns="http://schemas.openxmlformats.org/spreadsheetml/2006/main">
  <connection id="1" interval="240" name="Подключение1" type="4" refreshedVersion="4" deleted="1" background="1" refreshOnLoad="1">
    <webPr sourceData="1" parsePre="1" consecutive="1" xl2000="1" htmlTables="1"/>
  </connection>
</connections>
</file>

<file path=xl/sharedStrings.xml><?xml version="1.0" encoding="utf-8"?>
<sst xmlns="http://schemas.openxmlformats.org/spreadsheetml/2006/main" count="5370" uniqueCount="2262">
  <si>
    <t>000203030</t>
  </si>
  <si>
    <t>000085894</t>
  </si>
  <si>
    <t>000090663</t>
  </si>
  <si>
    <t>000090664</t>
  </si>
  <si>
    <t>000090665</t>
  </si>
  <si>
    <t>000090666</t>
  </si>
  <si>
    <t>000090667</t>
  </si>
  <si>
    <t>000090668</t>
  </si>
  <si>
    <t>000090669</t>
  </si>
  <si>
    <t>000088766</t>
  </si>
  <si>
    <t>000090670</t>
  </si>
  <si>
    <t>000088767</t>
  </si>
  <si>
    <t>000090671</t>
  </si>
  <si>
    <t>000090672</t>
  </si>
  <si>
    <t>000090673</t>
  </si>
  <si>
    <t>000090674</t>
  </si>
  <si>
    <t>000090675</t>
  </si>
  <si>
    <t>b00339412</t>
  </si>
  <si>
    <t>b00339413</t>
  </si>
  <si>
    <t>Шумоглушитель</t>
  </si>
  <si>
    <t>/CW.3</t>
  </si>
  <si>
    <t>/CF.3</t>
  </si>
  <si>
    <t>GROSS</t>
  </si>
  <si>
    <t>b00359422</t>
  </si>
  <si>
    <t>b00359423</t>
  </si>
  <si>
    <t>b00359424</t>
  </si>
  <si>
    <t>b00359425</t>
  </si>
  <si>
    <t>b00359434</t>
  </si>
  <si>
    <t>b00359435</t>
  </si>
  <si>
    <t>b00359436</t>
  </si>
  <si>
    <t>b00359437</t>
  </si>
  <si>
    <t>b00359438</t>
  </si>
  <si>
    <t>b00359439</t>
  </si>
  <si>
    <t>b00359440</t>
  </si>
  <si>
    <t>b00359441</t>
  </si>
  <si>
    <t>b00359442</t>
  </si>
  <si>
    <t>Шумоглушители</t>
  </si>
  <si>
    <t>Приточная часть</t>
  </si>
  <si>
    <t>Вытяжная часть</t>
  </si>
  <si>
    <t>м³/ч</t>
  </si>
  <si>
    <t>АВТО</t>
  </si>
  <si>
    <t>Вентилятор</t>
  </si>
  <si>
    <t>EC-двигатель</t>
  </si>
  <si>
    <t>380/~3</t>
  </si>
  <si>
    <t>Гибкие вставки</t>
  </si>
  <si>
    <t>---</t>
  </si>
  <si>
    <t>Нет</t>
  </si>
  <si>
    <t>Заслонка</t>
  </si>
  <si>
    <t>Стандартная</t>
  </si>
  <si>
    <t>Обр. клапан</t>
  </si>
  <si>
    <t>Фильтр</t>
  </si>
  <si>
    <t>Реле давления</t>
  </si>
  <si>
    <t>900/1000</t>
  </si>
  <si>
    <t>Рекуператор</t>
  </si>
  <si>
    <t>Нагреватель</t>
  </si>
  <si>
    <t>Охладитель</t>
  </si>
  <si>
    <t>№</t>
  </si>
  <si>
    <t>Наименование</t>
  </si>
  <si>
    <t>К-во</t>
  </si>
  <si>
    <t>Цена</t>
  </si>
  <si>
    <t>Артикул</t>
  </si>
  <si>
    <t>Приток_ВентиляторАвтоматика</t>
  </si>
  <si>
    <t>Приток_ВентиляторАвтоматикаРезультат</t>
  </si>
  <si>
    <t>Расчет смещения кривой вентилятора</t>
  </si>
  <si>
    <t>Q</t>
  </si>
  <si>
    <t>H</t>
  </si>
  <si>
    <t>k</t>
  </si>
  <si>
    <t>Заслон.</t>
  </si>
  <si>
    <t>Глушит.</t>
  </si>
  <si>
    <t>Рекупер.</t>
  </si>
  <si>
    <t>Нагрев.</t>
  </si>
  <si>
    <t>Охлад.</t>
  </si>
  <si>
    <t>k сист.</t>
  </si>
  <si>
    <t>Q сист.</t>
  </si>
  <si>
    <t>H сист.</t>
  </si>
  <si>
    <t>Q граф.</t>
  </si>
  <si>
    <t>H граф.</t>
  </si>
  <si>
    <t>Сеть</t>
  </si>
  <si>
    <t>k полн.</t>
  </si>
  <si>
    <t>Расчет правой границы графика системы</t>
  </si>
  <si>
    <t>Расчет границы графика сети</t>
  </si>
  <si>
    <t>dP=0</t>
  </si>
  <si>
    <t>Расчет рабочей точки</t>
  </si>
  <si>
    <t>WP</t>
  </si>
  <si>
    <t>Вентиляторы</t>
  </si>
  <si>
    <t>Ссылка</t>
  </si>
  <si>
    <t>Наименование по прайсу</t>
  </si>
  <si>
    <t>Сокращенное наименование</t>
  </si>
  <si>
    <t>dP Приток</t>
  </si>
  <si>
    <t>dP Проверка</t>
  </si>
  <si>
    <t>Приток</t>
  </si>
  <si>
    <t>Варианты</t>
  </si>
  <si>
    <t>Д / Ш, мм</t>
  </si>
  <si>
    <t>Высота, мм</t>
  </si>
  <si>
    <t>Размер</t>
  </si>
  <si>
    <t>Длина, мм</t>
  </si>
  <si>
    <t>Вес, кг</t>
  </si>
  <si>
    <t>Питание, В/~ф.</t>
  </si>
  <si>
    <t>Мощность, кВт</t>
  </si>
  <si>
    <t>Ток, А</t>
  </si>
  <si>
    <t>Исполнение</t>
  </si>
  <si>
    <t>Шумоизоляция</t>
  </si>
  <si>
    <t>L1</t>
  </si>
  <si>
    <t>L2</t>
  </si>
  <si>
    <t>L3</t>
  </si>
  <si>
    <t>L4</t>
  </si>
  <si>
    <t>L5</t>
  </si>
  <si>
    <t>L6</t>
  </si>
  <si>
    <t>L7</t>
  </si>
  <si>
    <t>P1</t>
  </si>
  <si>
    <t>P2</t>
  </si>
  <si>
    <t>P3</t>
  </si>
  <si>
    <t>P4</t>
  </si>
  <si>
    <t>P5</t>
  </si>
  <si>
    <t>P6</t>
  </si>
  <si>
    <t>P7</t>
  </si>
  <si>
    <t>K1</t>
  </si>
  <si>
    <t>K2</t>
  </si>
  <si>
    <t>K3</t>
  </si>
  <si>
    <t>K4</t>
  </si>
  <si>
    <t>K5</t>
  </si>
  <si>
    <t>K6</t>
  </si>
  <si>
    <t>K7</t>
  </si>
  <si>
    <t>220/~1</t>
  </si>
  <si>
    <t>Воздушные заслонки</t>
  </si>
  <si>
    <t>V приток</t>
  </si>
  <si>
    <t>Сечение, мм2</t>
  </si>
  <si>
    <t>Тип</t>
  </si>
  <si>
    <t>a</t>
  </si>
  <si>
    <t>b</t>
  </si>
  <si>
    <t>Утепленная</t>
  </si>
  <si>
    <t>Воздушные фильтры</t>
  </si>
  <si>
    <t>Длина</t>
  </si>
  <si>
    <t>Оборудование подобрано успешно</t>
  </si>
  <si>
    <t>Аэродинамическое сопротивление</t>
  </si>
  <si>
    <t>Полн. Напор</t>
  </si>
  <si>
    <t>Система</t>
  </si>
  <si>
    <t>Глушитель</t>
  </si>
  <si>
    <t>Ошибка</t>
  </si>
  <si>
    <t>400x200</t>
  </si>
  <si>
    <t>500x250</t>
  </si>
  <si>
    <t>500x300</t>
  </si>
  <si>
    <t>600x300</t>
  </si>
  <si>
    <t>600x350</t>
  </si>
  <si>
    <t>700x400</t>
  </si>
  <si>
    <t>800x500</t>
  </si>
  <si>
    <t>900x500</t>
  </si>
  <si>
    <t>1000x500</t>
  </si>
  <si>
    <t>Значение_Авто</t>
  </si>
  <si>
    <t>Ошибка_ПодборНевозможен</t>
  </si>
  <si>
    <t>Ошибка_НесовместныйПодбор</t>
  </si>
  <si>
    <t>Список_АвтоматикаЗаслонки</t>
  </si>
  <si>
    <t>Привод пружин.</t>
  </si>
  <si>
    <t>Привод 3-х поз.</t>
  </si>
  <si>
    <t>Список_ТипФильтра</t>
  </si>
  <si>
    <t>Список_АвтоматикаФильтра</t>
  </si>
  <si>
    <t>Список_АвтоматикаВентилятора</t>
  </si>
  <si>
    <t>Трансформатор</t>
  </si>
  <si>
    <t>Преобр. частоты</t>
  </si>
  <si>
    <t>Список_Шумоизоляция</t>
  </si>
  <si>
    <t>Да</t>
  </si>
  <si>
    <t>Список_ДлинаГлушителя</t>
  </si>
  <si>
    <t>Числовой столбец</t>
  </si>
  <si>
    <t>Ограничение скорости, м/с</t>
  </si>
  <si>
    <t>MIN</t>
  </si>
  <si>
    <t>MAX</t>
  </si>
  <si>
    <t>Модель</t>
  </si>
  <si>
    <t>Нагреватели</t>
  </si>
  <si>
    <t>Приток_Охладитель</t>
  </si>
  <si>
    <t>Симисторный</t>
  </si>
  <si>
    <t>-</t>
  </si>
  <si>
    <t>+</t>
  </si>
  <si>
    <t>Регуляторы скорости</t>
  </si>
  <si>
    <t>MTY-4 (220В 4А)</t>
  </si>
  <si>
    <t>IS.60 (220В 6А)</t>
  </si>
  <si>
    <t>TGRV 2 (220В 2А)</t>
  </si>
  <si>
    <t>TGRV 3 (220В 3А)</t>
  </si>
  <si>
    <t>TGRV 4 (220В 4А)</t>
  </si>
  <si>
    <t>TGRV 5 (220В 5А)</t>
  </si>
  <si>
    <t>TGRV 7 (220В 7А)</t>
  </si>
  <si>
    <t>TGRV 11 (220В 11А)</t>
  </si>
  <si>
    <t>TGRV 14 (220В 14А)</t>
  </si>
  <si>
    <t>TGRT 1 (380В 1А)</t>
  </si>
  <si>
    <t>TGRT 2 (380В 2А)</t>
  </si>
  <si>
    <t>TGRT 3 (380В 3А)</t>
  </si>
  <si>
    <t>TGRT 4 (380В 4А)</t>
  </si>
  <si>
    <t>TGRT 5 (380В 5А)</t>
  </si>
  <si>
    <t>TGRT 7 (380В 7А)</t>
  </si>
  <si>
    <t>TGRT 11 (380В 11А)</t>
  </si>
  <si>
    <t>TGRT 14 (380В 14А)</t>
  </si>
  <si>
    <t>IS.25 (220В 2,5А)</t>
  </si>
  <si>
    <t>TGRV 1.5 (220В 1,5А)</t>
  </si>
  <si>
    <t>Вес</t>
  </si>
  <si>
    <t>Автоматика</t>
  </si>
  <si>
    <t>Группа</t>
  </si>
  <si>
    <t>Скидка</t>
  </si>
  <si>
    <t>VACON0010-1L-0002-2 (~1ф 0,37кВт)</t>
  </si>
  <si>
    <t>VACON0010-1L-0003-2 (~1ф 0,55кВт)</t>
  </si>
  <si>
    <t>VACON0010-1L-0004-2 (~1ф 0,75кВт)</t>
  </si>
  <si>
    <t>VACON0010-1L-0005-2 (~1ф 1,1кВт)</t>
  </si>
  <si>
    <t>VACON0010-1L-0007-2 (~1ф 1,5кВт)</t>
  </si>
  <si>
    <t>VACON0010-1L-0009-2 (~1ф 2,2кВт)</t>
  </si>
  <si>
    <t>VACON0010-3L-0001-4 (~3ф 0,37кВт)</t>
  </si>
  <si>
    <t>VACON0010-3L-0002-4 (~3ф 0,55кВт)</t>
  </si>
  <si>
    <t>VACON0010-3L-0003-4 (~3ф 0,75кВт)</t>
  </si>
  <si>
    <t>VACON0010-3L-0004-4 (~3ф 1,1кВт)</t>
  </si>
  <si>
    <t>VACON0010-3L-0005-4 (~3ф 1,5кВт)</t>
  </si>
  <si>
    <t>VACON0010-3L-0006-4 (~3ф 2,2кВт)</t>
  </si>
  <si>
    <t>VACON0010-3L-0008-4 (~3ф 3кВт)</t>
  </si>
  <si>
    <t>VACON0010-3L-0009-4 (~3ф 4кВт)</t>
  </si>
  <si>
    <t>VACON0010-3L-0012-4 (~3ф 5,5кВт)</t>
  </si>
  <si>
    <t>VACON0010-3L-0016-4 (~3ф 7,5кВт)</t>
  </si>
  <si>
    <t>VACON0010-3L-0023-4 (~3ф 11кВт)</t>
  </si>
  <si>
    <t>VACON0010-3L-0031-4 (~3ф 15кВт)</t>
  </si>
  <si>
    <t>VACON0010-3L-0038-4 (~3ф 18,5кВт)</t>
  </si>
  <si>
    <t>^0</t>
  </si>
  <si>
    <t>^5</t>
  </si>
  <si>
    <t>^4</t>
  </si>
  <si>
    <t>^3</t>
  </si>
  <si>
    <t>Дифманометр</t>
  </si>
  <si>
    <t>Индекс</t>
  </si>
  <si>
    <t>b00362238</t>
  </si>
  <si>
    <t>b00362239</t>
  </si>
  <si>
    <t>b00362240 </t>
  </si>
  <si>
    <t>b00362241</t>
  </si>
  <si>
    <t>b00362242</t>
  </si>
  <si>
    <t>b00362243</t>
  </si>
  <si>
    <t>b00362244</t>
  </si>
  <si>
    <t>b00362245</t>
  </si>
  <si>
    <t>b00362246</t>
  </si>
  <si>
    <t>b00362247</t>
  </si>
  <si>
    <t>b00362248</t>
  </si>
  <si>
    <t>b00362249</t>
  </si>
  <si>
    <t>b00362250</t>
  </si>
  <si>
    <t>b00362251</t>
  </si>
  <si>
    <t>b00362252</t>
  </si>
  <si>
    <t>b00362253</t>
  </si>
  <si>
    <t>b00362254</t>
  </si>
  <si>
    <t>b00362255</t>
  </si>
  <si>
    <t>b00362256</t>
  </si>
  <si>
    <t>Электрический</t>
  </si>
  <si>
    <t>Водяной</t>
  </si>
  <si>
    <t>b00359420</t>
  </si>
  <si>
    <t>b00359421</t>
  </si>
  <si>
    <t>80 / 60</t>
  </si>
  <si>
    <t>90 / 70</t>
  </si>
  <si>
    <t>95 / 70</t>
  </si>
  <si>
    <t>110 / 70</t>
  </si>
  <si>
    <t>Расход воздуха, м3/час</t>
  </si>
  <si>
    <t>Q0</t>
  </si>
  <si>
    <t>Батарея</t>
  </si>
  <si>
    <t>Режим теплоносителя</t>
  </si>
  <si>
    <t>Kvs</t>
  </si>
  <si>
    <t>Т воздуха, вход.</t>
  </si>
  <si>
    <t>Мощность батареи</t>
  </si>
  <si>
    <t>макс. Температура на батарее</t>
  </si>
  <si>
    <t>Расход жидкости</t>
  </si>
  <si>
    <t>Потеря напора</t>
  </si>
  <si>
    <t>Типоразмер</t>
  </si>
  <si>
    <t>40-20 /HW.2</t>
  </si>
  <si>
    <t>40-20 /HW.3</t>
  </si>
  <si>
    <t>50-25 /HW.2</t>
  </si>
  <si>
    <t>50-25 /HW.3</t>
  </si>
  <si>
    <t>50-30 /HW.2</t>
  </si>
  <si>
    <t>50-30 /HW.3</t>
  </si>
  <si>
    <t>60-30 /HW.2</t>
  </si>
  <si>
    <t>60-30 /HW.3</t>
  </si>
  <si>
    <t>60-35 /HW.2</t>
  </si>
  <si>
    <t>60-35 /HW.3</t>
  </si>
  <si>
    <t>70-40 /HW.2</t>
  </si>
  <si>
    <t>70-40 /HW.3</t>
  </si>
  <si>
    <t xml:space="preserve">  </t>
  </si>
  <si>
    <t>80-50 /HW.2</t>
  </si>
  <si>
    <t>40-20 HW.2</t>
  </si>
  <si>
    <t>40-20 HW.3</t>
  </si>
  <si>
    <t>80-50 /HW.3</t>
  </si>
  <si>
    <t>80-60</t>
  </si>
  <si>
    <t>90 - 70</t>
  </si>
  <si>
    <t>95 - 70</t>
  </si>
  <si>
    <t>110-70</t>
  </si>
  <si>
    <t>90-50 /HW.2</t>
  </si>
  <si>
    <t>90-50 /HW.3</t>
  </si>
  <si>
    <t>100-50 /HW.2</t>
  </si>
  <si>
    <t>100-50 /HW.3</t>
  </si>
  <si>
    <t>50-25 HW.2</t>
  </si>
  <si>
    <t>50-25 HW.3</t>
  </si>
  <si>
    <t>50-30 HW.2</t>
  </si>
  <si>
    <t>50-30 HW.3</t>
  </si>
  <si>
    <t>60-30 HW.2</t>
  </si>
  <si>
    <t>60-30 HW.3</t>
  </si>
  <si>
    <t>60-35 HW.2</t>
  </si>
  <si>
    <t>60-35 HW.3</t>
  </si>
  <si>
    <t>70-40 HW.2</t>
  </si>
  <si>
    <t>70-40 HW.3</t>
  </si>
  <si>
    <t>80-50 HW.2</t>
  </si>
  <si>
    <t>80-50 HW.3</t>
  </si>
  <si>
    <t>90-50 HW.2</t>
  </si>
  <si>
    <t>90-50 HW.3</t>
  </si>
  <si>
    <t>100-50 HW.2</t>
  </si>
  <si>
    <t>100-50 HW.3</t>
  </si>
  <si>
    <t>Электронагреватель</t>
  </si>
  <si>
    <t>Водяной нагреватель</t>
  </si>
  <si>
    <t>Список_Теплоноситель</t>
  </si>
  <si>
    <t>Список_ТемператураВходаНагревателя</t>
  </si>
  <si>
    <t>Расход, т/ч</t>
  </si>
  <si>
    <t>Сопротивл., кПа</t>
  </si>
  <si>
    <t>Гибкая вставка</t>
  </si>
  <si>
    <t>Регулятор скорости</t>
  </si>
  <si>
    <t>Рекуператоры</t>
  </si>
  <si>
    <r>
      <t>L</t>
    </r>
    <r>
      <rPr>
        <vertAlign val="subscript"/>
        <sz val="11"/>
        <color theme="1"/>
        <rFont val="Calibri"/>
        <family val="2"/>
        <charset val="204"/>
        <scheme val="minor"/>
      </rPr>
      <t>приток</t>
    </r>
    <r>
      <rPr>
        <sz val="11"/>
        <color theme="1"/>
        <rFont val="Calibri"/>
        <family val="2"/>
        <scheme val="minor"/>
      </rPr>
      <t xml:space="preserve"> / L</t>
    </r>
    <r>
      <rPr>
        <vertAlign val="subscript"/>
        <sz val="11"/>
        <color theme="1"/>
        <rFont val="Calibri"/>
        <family val="2"/>
        <charset val="204"/>
        <scheme val="minor"/>
      </rPr>
      <t>вытяжка</t>
    </r>
    <r>
      <rPr>
        <sz val="11"/>
        <color theme="1"/>
        <rFont val="Calibri"/>
        <family val="2"/>
        <scheme val="minor"/>
      </rPr>
      <t xml:space="preserve"> = 1.0 …</t>
    </r>
  </si>
  <si>
    <t>Проверка</t>
  </si>
  <si>
    <r>
      <t>L</t>
    </r>
    <r>
      <rPr>
        <vertAlign val="subscript"/>
        <sz val="11"/>
        <color theme="1"/>
        <rFont val="Calibri"/>
        <family val="2"/>
        <charset val="204"/>
        <scheme val="minor"/>
      </rPr>
      <t>1</t>
    </r>
    <r>
      <rPr>
        <sz val="11"/>
        <color theme="1"/>
        <rFont val="Calibri"/>
        <family val="2"/>
        <scheme val="minor"/>
      </rPr>
      <t xml:space="preserve"> (м3/ч)</t>
    </r>
  </si>
  <si>
    <r>
      <t>E</t>
    </r>
    <r>
      <rPr>
        <vertAlign val="subscript"/>
        <sz val="11"/>
        <color theme="1"/>
        <rFont val="Calibri"/>
        <family val="2"/>
        <charset val="204"/>
        <scheme val="minor"/>
      </rPr>
      <t>1</t>
    </r>
    <r>
      <rPr>
        <sz val="11"/>
        <color theme="1"/>
        <rFont val="Calibri"/>
        <family val="2"/>
        <scheme val="minor"/>
      </rPr>
      <t xml:space="preserve"> (%)</t>
    </r>
  </si>
  <si>
    <r>
      <t>L</t>
    </r>
    <r>
      <rPr>
        <vertAlign val="subscript"/>
        <sz val="11"/>
        <color theme="1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scheme val="minor"/>
      </rPr>
      <t xml:space="preserve"> (м</t>
    </r>
    <r>
      <rPr>
        <vertAlign val="superscript"/>
        <sz val="11"/>
        <color theme="1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scheme val="minor"/>
      </rPr>
      <t>/ч)</t>
    </r>
  </si>
  <si>
    <r>
      <t>E</t>
    </r>
    <r>
      <rPr>
        <vertAlign val="subscript"/>
        <sz val="11"/>
        <color theme="1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scheme val="minor"/>
      </rPr>
      <t xml:space="preserve"> (%)</t>
    </r>
  </si>
  <si>
    <r>
      <t>-</t>
    </r>
    <r>
      <rPr>
        <sz val="11"/>
        <color theme="1"/>
        <rFont val="Calibri"/>
        <family val="2"/>
        <charset val="204"/>
      </rPr>
      <t>∆</t>
    </r>
    <r>
      <rPr>
        <vertAlign val="subscript"/>
        <sz val="11"/>
        <color theme="1"/>
        <rFont val="Calibri"/>
        <family val="2"/>
        <charset val="204"/>
        <scheme val="minor"/>
      </rPr>
      <t>Е</t>
    </r>
    <r>
      <rPr>
        <sz val="11"/>
        <color theme="1"/>
        <rFont val="Calibri"/>
        <family val="2"/>
        <scheme val="minor"/>
      </rPr>
      <t xml:space="preserve"> (% п.)</t>
    </r>
  </si>
  <si>
    <r>
      <t>+</t>
    </r>
    <r>
      <rPr>
        <sz val="11"/>
        <color theme="1"/>
        <rFont val="Calibri"/>
        <family val="2"/>
        <charset val="204"/>
      </rPr>
      <t>∆</t>
    </r>
    <r>
      <rPr>
        <vertAlign val="subscript"/>
        <sz val="11"/>
        <color theme="1"/>
        <rFont val="Calibri"/>
        <family val="2"/>
        <charset val="204"/>
        <scheme val="minor"/>
      </rPr>
      <t>Е</t>
    </r>
    <r>
      <rPr>
        <sz val="11"/>
        <color theme="1"/>
        <rFont val="Calibri"/>
        <family val="2"/>
        <scheme val="minor"/>
      </rPr>
      <t xml:space="preserve"> (% п.)</t>
    </r>
  </si>
  <si>
    <r>
      <t>L (м</t>
    </r>
    <r>
      <rPr>
        <vertAlign val="superscript"/>
        <sz val="11"/>
        <color theme="1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scheme val="minor"/>
      </rPr>
      <t>/ч)</t>
    </r>
  </si>
  <si>
    <r>
      <t>L</t>
    </r>
    <r>
      <rPr>
        <vertAlign val="subscript"/>
        <sz val="11"/>
        <color theme="1"/>
        <rFont val="Calibri"/>
        <family val="2"/>
        <charset val="204"/>
        <scheme val="minor"/>
      </rPr>
      <t>пр</t>
    </r>
    <r>
      <rPr>
        <sz val="11"/>
        <color theme="1"/>
        <rFont val="Calibri"/>
        <family val="2"/>
        <scheme val="minor"/>
      </rPr>
      <t>/L</t>
    </r>
    <r>
      <rPr>
        <vertAlign val="subscript"/>
        <sz val="11"/>
        <color theme="1"/>
        <rFont val="Calibri"/>
        <family val="2"/>
        <charset val="204"/>
        <scheme val="minor"/>
      </rPr>
      <t>выт</t>
    </r>
  </si>
  <si>
    <t>E (%)</t>
  </si>
  <si>
    <r>
      <t>t</t>
    </r>
    <r>
      <rPr>
        <vertAlign val="subscript"/>
        <sz val="11"/>
        <color theme="1"/>
        <rFont val="Calibri"/>
        <family val="2"/>
        <charset val="204"/>
        <scheme val="minor"/>
      </rPr>
      <t>наружная</t>
    </r>
  </si>
  <si>
    <r>
      <t>t</t>
    </r>
    <r>
      <rPr>
        <vertAlign val="subscript"/>
        <sz val="11"/>
        <color theme="1"/>
        <rFont val="Calibri"/>
        <family val="2"/>
        <charset val="204"/>
        <scheme val="minor"/>
      </rPr>
      <t>приток</t>
    </r>
  </si>
  <si>
    <r>
      <t>t</t>
    </r>
    <r>
      <rPr>
        <vertAlign val="subscript"/>
        <sz val="11"/>
        <color theme="1"/>
        <rFont val="Calibri"/>
        <family val="2"/>
        <charset val="204"/>
        <scheme val="minor"/>
      </rPr>
      <t>вытяжка</t>
    </r>
  </si>
  <si>
    <r>
      <t>t</t>
    </r>
    <r>
      <rPr>
        <vertAlign val="subscript"/>
        <sz val="11"/>
        <color theme="1"/>
        <rFont val="Calibri"/>
        <family val="2"/>
        <charset val="204"/>
        <scheme val="minor"/>
      </rPr>
      <t>выброс</t>
    </r>
  </si>
  <si>
    <t>Q (кВт)</t>
  </si>
  <si>
    <t>Lприт.</t>
  </si>
  <si>
    <t>Lвыт.</t>
  </si>
  <si>
    <t>м3/ч</t>
  </si>
  <si>
    <t>Lприт./Lвыт.</t>
  </si>
  <si>
    <t>Расчет</t>
  </si>
  <si>
    <t>Лев. гр.</t>
  </si>
  <si>
    <r>
      <t>∆</t>
    </r>
    <r>
      <rPr>
        <vertAlign val="subscript"/>
        <sz val="11"/>
        <color theme="1"/>
        <rFont val="Calibri"/>
        <family val="2"/>
        <charset val="204"/>
        <scheme val="minor"/>
      </rPr>
      <t>Е</t>
    </r>
  </si>
  <si>
    <t>Эффект., %</t>
  </si>
  <si>
    <t>Мощн., кВт</t>
  </si>
  <si>
    <t>t прит., 'C</t>
  </si>
  <si>
    <t>t выт., 'C</t>
  </si>
  <si>
    <t>Расход воздуха</t>
  </si>
  <si>
    <t>t вход. воздуха, °С.</t>
  </si>
  <si>
    <t>φ вход. воздуха, %.</t>
  </si>
  <si>
    <t>t вход, °С</t>
  </si>
  <si>
    <r>
      <t>φ</t>
    </r>
    <r>
      <rPr>
        <sz val="11"/>
        <color theme="1"/>
        <rFont val="Calibri"/>
        <family val="2"/>
        <scheme val="minor"/>
      </rPr>
      <t>, %.</t>
    </r>
  </si>
  <si>
    <t>Q полн</t>
  </si>
  <si>
    <t>Q явн.</t>
  </si>
  <si>
    <t>Тип охлаждения</t>
  </si>
  <si>
    <t>40 - 20</t>
  </si>
  <si>
    <t>Q явн</t>
  </si>
  <si>
    <t>Δt</t>
  </si>
  <si>
    <t>t вых. воздуха, °С.</t>
  </si>
  <si>
    <r>
      <t>расход воды, м</t>
    </r>
    <r>
      <rPr>
        <vertAlign val="superscript"/>
        <sz val="10"/>
        <rFont val="Arial Cyr"/>
        <charset val="204"/>
      </rPr>
      <t>3</t>
    </r>
    <r>
      <rPr>
        <sz val="11"/>
        <color theme="1"/>
        <rFont val="Calibri"/>
        <family val="2"/>
        <scheme val="minor"/>
      </rPr>
      <t>/час.</t>
    </r>
  </si>
  <si>
    <t>гидравлич. сопротивление, Па.</t>
  </si>
  <si>
    <t>Расход фреона, кг/час.</t>
  </si>
  <si>
    <t>Батареи</t>
  </si>
  <si>
    <t>40-20</t>
  </si>
  <si>
    <t>50-25</t>
  </si>
  <si>
    <t>50-30</t>
  </si>
  <si>
    <t>60-30</t>
  </si>
  <si>
    <t>60-35</t>
  </si>
  <si>
    <t>70-40</t>
  </si>
  <si>
    <t>80-50</t>
  </si>
  <si>
    <t>90-50</t>
  </si>
  <si>
    <t>100-50</t>
  </si>
  <si>
    <t>50 - 25</t>
  </si>
  <si>
    <r>
      <t>φ</t>
    </r>
    <r>
      <rPr>
        <sz val="11"/>
        <color theme="1"/>
        <rFont val="Calibri"/>
        <family val="2"/>
        <scheme val="minor"/>
      </rPr>
      <t xml:space="preserve"> min</t>
    </r>
  </si>
  <si>
    <r>
      <t>φ</t>
    </r>
    <r>
      <rPr>
        <sz val="11"/>
        <color theme="1"/>
        <rFont val="Calibri"/>
        <family val="2"/>
        <scheme val="minor"/>
      </rPr>
      <t xml:space="preserve"> max</t>
    </r>
  </si>
  <si>
    <t>граница t° снизу</t>
  </si>
  <si>
    <t>граница t° сверху</t>
  </si>
  <si>
    <t>фактическая t°</t>
  </si>
  <si>
    <t>Типы охладителей</t>
  </si>
  <si>
    <t>50 - 30</t>
  </si>
  <si>
    <t>60 - 30</t>
  </si>
  <si>
    <t>60 - 35</t>
  </si>
  <si>
    <t>70 - 40</t>
  </si>
  <si>
    <t>80 - 50</t>
  </si>
  <si>
    <t>90 - 50</t>
  </si>
  <si>
    <t>100 - 50</t>
  </si>
  <si>
    <t>Температура ВХОД</t>
  </si>
  <si>
    <t>Расчетные данные</t>
  </si>
  <si>
    <t>Порядок</t>
  </si>
  <si>
    <t>Город</t>
  </si>
  <si>
    <t>Майкоп</t>
  </si>
  <si>
    <t>Барнаул</t>
  </si>
  <si>
    <t>Благовещенск</t>
  </si>
  <si>
    <t>Архангельск</t>
  </si>
  <si>
    <t>Астрахань</t>
  </si>
  <si>
    <t>Уфа</t>
  </si>
  <si>
    <t>Белгород</t>
  </si>
  <si>
    <t>Брянск</t>
  </si>
  <si>
    <t>Улан-Удэ</t>
  </si>
  <si>
    <t>Владимир</t>
  </si>
  <si>
    <t>Волгоград</t>
  </si>
  <si>
    <t>Вологда</t>
  </si>
  <si>
    <t>Воронеж</t>
  </si>
  <si>
    <t>Махачкала</t>
  </si>
  <si>
    <t>Иваново</t>
  </si>
  <si>
    <t>Иркутск</t>
  </si>
  <si>
    <t>Нальчик</t>
  </si>
  <si>
    <t>Калининград</t>
  </si>
  <si>
    <t>Элиста</t>
  </si>
  <si>
    <t>Калуга</t>
  </si>
  <si>
    <t>Черкесск</t>
  </si>
  <si>
    <t>Петрозаводск</t>
  </si>
  <si>
    <t>Кемерово</t>
  </si>
  <si>
    <t>Сыктывкар</t>
  </si>
  <si>
    <t>Кострома</t>
  </si>
  <si>
    <t>Краснодар</t>
  </si>
  <si>
    <t>Сочи</t>
  </si>
  <si>
    <t>Красноярск</t>
  </si>
  <si>
    <t>Курган</t>
  </si>
  <si>
    <t>Курск</t>
  </si>
  <si>
    <t>Липецк</t>
  </si>
  <si>
    <t>Санкт-Петербург</t>
  </si>
  <si>
    <t>Йошкар-Ола</t>
  </si>
  <si>
    <t>Саранск</t>
  </si>
  <si>
    <t>Москва</t>
  </si>
  <si>
    <t>Мурманск</t>
  </si>
  <si>
    <t>Новгород</t>
  </si>
  <si>
    <t>Новосибирск</t>
  </si>
  <si>
    <t>Омск</t>
  </si>
  <si>
    <t>Оренбург</t>
  </si>
  <si>
    <t>Орел</t>
  </si>
  <si>
    <t>Пенза</t>
  </si>
  <si>
    <t>Пермь</t>
  </si>
  <si>
    <t>Владивосток</t>
  </si>
  <si>
    <t>Псков</t>
  </si>
  <si>
    <t>Ростов-на-Дону</t>
  </si>
  <si>
    <t>Рязань</t>
  </si>
  <si>
    <t>Самара</t>
  </si>
  <si>
    <t>Екатеринбург</t>
  </si>
  <si>
    <t>Саратов</t>
  </si>
  <si>
    <t>Южно-Сахалинск</t>
  </si>
  <si>
    <t>Владикавказ</t>
  </si>
  <si>
    <t>Смоленск</t>
  </si>
  <si>
    <t>Ставрополь</t>
  </si>
  <si>
    <t>Тамбов</t>
  </si>
  <si>
    <t>Казань</t>
  </si>
  <si>
    <t>Тверь</t>
  </si>
  <si>
    <t>Томск</t>
  </si>
  <si>
    <t>Кызыл</t>
  </si>
  <si>
    <t>Тула</t>
  </si>
  <si>
    <t>Тюмень</t>
  </si>
  <si>
    <t>Ижевск</t>
  </si>
  <si>
    <t>Ульяновск</t>
  </si>
  <si>
    <t>Хабаровск</t>
  </si>
  <si>
    <t>Абакан</t>
  </si>
  <si>
    <t>Челябинск</t>
  </si>
  <si>
    <t>Грозный</t>
  </si>
  <si>
    <t>Чита</t>
  </si>
  <si>
    <t>Чебоксары</t>
  </si>
  <si>
    <t>Анадырь</t>
  </si>
  <si>
    <t>Якутск</t>
  </si>
  <si>
    <t>Нарьян-Мар</t>
  </si>
  <si>
    <t>Ярославль</t>
  </si>
  <si>
    <t>Симферополь</t>
  </si>
  <si>
    <t>Киров</t>
  </si>
  <si>
    <t>Магадан</t>
  </si>
  <si>
    <t>Сургут</t>
  </si>
  <si>
    <t>t хол 5дн.</t>
  </si>
  <si>
    <t>Список_ТипЗаслонки</t>
  </si>
  <si>
    <t>DUCT_C</t>
  </si>
  <si>
    <t>DUCT_T</t>
  </si>
  <si>
    <t>Канал</t>
  </si>
  <si>
    <t>Преднагрев</t>
  </si>
  <si>
    <t>Задача_Регион</t>
  </si>
  <si>
    <t>Задача_ТемператураНаружная</t>
  </si>
  <si>
    <t>Список_Размер_DUCT_C</t>
  </si>
  <si>
    <t>Список_Размер_DUCT_T</t>
  </si>
  <si>
    <t>Список_Размер_COMPACT_S</t>
  </si>
  <si>
    <t>Список_Размер_COMPACT_P</t>
  </si>
  <si>
    <t>Список_Размер_COMPACT_V</t>
  </si>
  <si>
    <t>Список_Размер_COMPACT_H</t>
  </si>
  <si>
    <t>Список_Размер_KITCHEN</t>
  </si>
  <si>
    <t>Список_Размер_ROOF</t>
  </si>
  <si>
    <t>Ø125</t>
  </si>
  <si>
    <t>Ø160</t>
  </si>
  <si>
    <t>Ø200</t>
  </si>
  <si>
    <t>Ø250</t>
  </si>
  <si>
    <t>Ø315</t>
  </si>
  <si>
    <t>Ø355</t>
  </si>
  <si>
    <t>Ø400</t>
  </si>
  <si>
    <t>Ø450</t>
  </si>
  <si>
    <t>Ø500</t>
  </si>
  <si>
    <t>Ø560</t>
  </si>
  <si>
    <t>Ø630</t>
  </si>
  <si>
    <t>Ø100</t>
  </si>
  <si>
    <t>Задача_РазмерОшибка</t>
  </si>
  <si>
    <t>^2 / a</t>
  </si>
  <si>
    <t>^ 1 / b</t>
  </si>
  <si>
    <t>Задача_РазмерСписок</t>
  </si>
  <si>
    <t>V</t>
  </si>
  <si>
    <t>dP</t>
  </si>
  <si>
    <t>Задача_Заслонка</t>
  </si>
  <si>
    <t>Задача_ЗаслонкаТип</t>
  </si>
  <si>
    <t>Расчет_ЗаслонкаРезультат</t>
  </si>
  <si>
    <t>Расчет_ЗаслонкаРезультатИсточникОшибки</t>
  </si>
  <si>
    <t>Расчет_Результат</t>
  </si>
  <si>
    <t>Расчет_РезультатРазмер</t>
  </si>
  <si>
    <t>Задача_Тип</t>
  </si>
  <si>
    <t>Задача_ТипТекст</t>
  </si>
  <si>
    <t>Задача_ТипКод</t>
  </si>
  <si>
    <t>Основное оборудование</t>
  </si>
  <si>
    <t>Панельный G3</t>
  </si>
  <si>
    <t>Карманный G4</t>
  </si>
  <si>
    <t>Карманный F5</t>
  </si>
  <si>
    <t>Карманный F7</t>
  </si>
  <si>
    <t>Задача_Фильтр</t>
  </si>
  <si>
    <t>Задача_ФильтрТип</t>
  </si>
  <si>
    <t>Расчет_ФильтрРезультат</t>
  </si>
  <si>
    <t>Расчет_ФильтрРезультатИсточникОшибки</t>
  </si>
  <si>
    <t>В, мм / L, м3/ч</t>
  </si>
  <si>
    <t>COMPACT_S</t>
  </si>
  <si>
    <t>Невозможно подобрать</t>
  </si>
  <si>
    <t>Несовместимый результат</t>
  </si>
  <si>
    <t>Задача_Шумоглушитель</t>
  </si>
  <si>
    <t>Задача_ШумоглушительДлина</t>
  </si>
  <si>
    <t>Расчет_ШумоглушительРезультат</t>
  </si>
  <si>
    <t>Расчет_ШумоглушительРезультатИсточникОшибки</t>
  </si>
  <si>
    <t>Задача_Вентилятор</t>
  </si>
  <si>
    <t>Задача_ВентиляторШумоизоляция</t>
  </si>
  <si>
    <t>Задача_ВентиляторEC</t>
  </si>
  <si>
    <t>Расчет_ВентиляторВарианты1</t>
  </si>
  <si>
    <t>Расчет_ВентиляторВарианты2</t>
  </si>
  <si>
    <t>Расчет_ВентиляторВарианты3</t>
  </si>
  <si>
    <t>Расчет_ВентиляторВарианты4</t>
  </si>
  <si>
    <t>Расчет_ВентиляторВарианты5</t>
  </si>
  <si>
    <t>Расчет_ВентиляторВариантТекст</t>
  </si>
  <si>
    <t>Расчет_ВентиляторВариант</t>
  </si>
  <si>
    <t>Расчет_ВентиляторРезультат</t>
  </si>
  <si>
    <t>Расчет_ВентиляторРезультатИсточникОшибки</t>
  </si>
  <si>
    <t>Задача_ВентиляторГибкиеВставки</t>
  </si>
  <si>
    <t>Расчет_ВентиляторГибкиеВставкиРезультат</t>
  </si>
  <si>
    <t>Список_Корпус</t>
  </si>
  <si>
    <t>Список_Двигатель</t>
  </si>
  <si>
    <t>Все варианты</t>
  </si>
  <si>
    <t>Шумоизолир.</t>
  </si>
  <si>
    <t>Петр.-Камчатский</t>
  </si>
  <si>
    <t>Нижн. Новгород</t>
  </si>
  <si>
    <t>Задача_ТемператураПомещенияЗима</t>
  </si>
  <si>
    <t>Задача_Рекуператор</t>
  </si>
  <si>
    <t>Расчет_РекуператорРезультат</t>
  </si>
  <si>
    <t>Расчет_РекуператорРезультатИсточникОшибки</t>
  </si>
  <si>
    <t>КАНАЛЬНАЯ ВЕНТИЛЯЦИЯ И КОМПАКТНЫЕ УСТАНОВКИ</t>
  </si>
  <si>
    <t>Соединение=</t>
  </si>
  <si>
    <t>Обновление=</t>
  </si>
  <si>
    <t>► для круглых каналов в пластиковом корпусе</t>
  </si>
  <si>
    <t>► для прямоугольных каналов</t>
  </si>
  <si>
    <t>Импорт=</t>
  </si>
  <si>
    <t>► кухонные кубические</t>
  </si>
  <si>
    <t>► для прямоугольных каналов шумоизолированные</t>
  </si>
  <si>
    <t>Нагреватели канальные</t>
  </si>
  <si>
    <t>► для круглых каналов электрические</t>
  </si>
  <si>
    <t>► для прямоугольных каналов водяные</t>
  </si>
  <si>
    <t>► для прямоугольных каналов электрические</t>
  </si>
  <si>
    <t>Охладители канальные</t>
  </si>
  <si>
    <t>► для прямоугольных каналов фреоновые</t>
  </si>
  <si>
    <t>Рекуператоры канальные</t>
  </si>
  <si>
    <t>► для прямоугольных каналов пластинчатые</t>
  </si>
  <si>
    <t>Фильтры воздушные канальные</t>
  </si>
  <si>
    <t xml:space="preserve">► для круглых каналов панельные (G3) </t>
  </si>
  <si>
    <t>► для прямоугольных каналов карманные (G4, F5, F7, F9)</t>
  </si>
  <si>
    <t>► для кухонных вентиляторов жироулавливающие</t>
  </si>
  <si>
    <t>Заслонки воздушные канальные</t>
  </si>
  <si>
    <t>► для круглых каналов под привод с уплотнением</t>
  </si>
  <si>
    <t>► для кухонных кубических вентиляторов E16</t>
  </si>
  <si>
    <t>Шумоглушители канальные</t>
  </si>
  <si>
    <t>► для круглых каналов</t>
  </si>
  <si>
    <t>… вставки сменные жироулавливающие для LV-KDTG</t>
  </si>
  <si>
    <t>… вставки сменные карманные для LV-KDТK</t>
  </si>
  <si>
    <t>… вставки сменные панельные для LV-KDCS</t>
  </si>
  <si>
    <t>Компактные вентиляционные установки</t>
  </si>
  <si>
    <t>► подвесные с пластинчатым рекуператором</t>
  </si>
  <si>
    <t>Принадлежности для вентиляторов</t>
  </si>
  <si>
    <t>► хомут быстросъемный для круглых каналов</t>
  </si>
  <si>
    <t>► вставка гибкая для прямоугольных каналов</t>
  </si>
  <si>
    <t>► вставка гибкая для кухонных вентиляторов LV-FKQ E16</t>
  </si>
  <si>
    <t>► крышные горизонтального выброса промышл. типа</t>
  </si>
  <si>
    <t>► крышные вертикального выброса промышлен. типа</t>
  </si>
  <si>
    <t>Вентиляторы канальные и специальные</t>
  </si>
  <si>
    <t>Значение_НД</t>
  </si>
  <si>
    <t>----</t>
  </si>
  <si>
    <t>Наружная</t>
  </si>
  <si>
    <t>90 / 70 ºC</t>
  </si>
  <si>
    <t>80 / 60 ºC</t>
  </si>
  <si>
    <t>95 / 70 ºC</t>
  </si>
  <si>
    <t>110 / 70 ºC</t>
  </si>
  <si>
    <t>Список_ТипНагревателя</t>
  </si>
  <si>
    <t>Задача_Нагреватель</t>
  </si>
  <si>
    <t>Задача_НагревательТипТекст</t>
  </si>
  <si>
    <t>Мощность нагрева</t>
  </si>
  <si>
    <t>Задача_НагревательИсточникТемперТекст</t>
  </si>
  <si>
    <t>Задача_НагревательИсточникТемпер</t>
  </si>
  <si>
    <t>Задача_НагревательТип</t>
  </si>
  <si>
    <t>EUR</t>
  </si>
  <si>
    <t>$B$3:$C$20</t>
  </si>
  <si>
    <t>Значение_NA</t>
  </si>
  <si>
    <t>будет реализовано в следующих версиях</t>
  </si>
  <si>
    <t>Валюта</t>
  </si>
  <si>
    <t>Задача_ТипСокр</t>
  </si>
  <si>
    <t>Задача_НагревательТеплоносительТекст</t>
  </si>
  <si>
    <t>Задача_НагревательТеплоноситель</t>
  </si>
  <si>
    <t>T вход нагрева</t>
  </si>
  <si>
    <t>Расчет_НагревательРезультат</t>
  </si>
  <si>
    <t>Расчет_НагревательРезультатИсточникОшибки</t>
  </si>
  <si>
    <t>Задача_НагревательЗапасМощности</t>
  </si>
  <si>
    <t>Расчет_НагревательМаксимальнаяТемпература</t>
  </si>
  <si>
    <t>Расчет_НагревательРезультатРасчетнаяМощность</t>
  </si>
  <si>
    <t>Расчет_НагревательРезультатПолнаяМощность</t>
  </si>
  <si>
    <t>P полная, кВт</t>
  </si>
  <si>
    <t>P расчетная, кВт</t>
  </si>
  <si>
    <t>T вход, 'C</t>
  </si>
  <si>
    <t>Расчет_НагревательТемператураВход</t>
  </si>
  <si>
    <t>KITCHEN</t>
  </si>
  <si>
    <t>#</t>
  </si>
  <si>
    <t>В СОСТАВЕ УСТАНОВКИ</t>
  </si>
  <si>
    <t>Значение_ВСоставеУстановки</t>
  </si>
  <si>
    <t>Список_Производитель</t>
  </si>
  <si>
    <t>Россия</t>
  </si>
  <si>
    <t>Евросоюз</t>
  </si>
  <si>
    <t>Производитель</t>
  </si>
  <si>
    <t>Задача_ПроизводительЛюбой</t>
  </si>
  <si>
    <t>160-200 E15</t>
  </si>
  <si>
    <t>225 E15</t>
  </si>
  <si>
    <t>250-315 E15</t>
  </si>
  <si>
    <t>355-400 E15</t>
  </si>
  <si>
    <t>Жировой</t>
  </si>
  <si>
    <t>250 E16</t>
  </si>
  <si>
    <t>350x350</t>
  </si>
  <si>
    <t>280 E16</t>
  </si>
  <si>
    <t>400x400</t>
  </si>
  <si>
    <t>311 E16</t>
  </si>
  <si>
    <t>450x450</t>
  </si>
  <si>
    <t>355 E16</t>
  </si>
  <si>
    <t>500x500</t>
  </si>
  <si>
    <t>400 E16</t>
  </si>
  <si>
    <t>550x550</t>
  </si>
  <si>
    <t>450 E16</t>
  </si>
  <si>
    <t>630x630</t>
  </si>
  <si>
    <t>500 E16</t>
  </si>
  <si>
    <t>700x700</t>
  </si>
  <si>
    <t>560 E16</t>
  </si>
  <si>
    <t>750x750</t>
  </si>
  <si>
    <t>630 E16</t>
  </si>
  <si>
    <t>850x850</t>
  </si>
  <si>
    <t>710 E16</t>
  </si>
  <si>
    <t>1000x1000</t>
  </si>
  <si>
    <t>1100W E15</t>
  </si>
  <si>
    <t>350E E15</t>
  </si>
  <si>
    <t>700E E15</t>
  </si>
  <si>
    <t>1100E E15</t>
  </si>
  <si>
    <t>300x150</t>
  </si>
  <si>
    <t>1250x600</t>
  </si>
  <si>
    <t>1250x800</t>
  </si>
  <si>
    <t>500E E17</t>
  </si>
  <si>
    <t>700-1500E E17</t>
  </si>
  <si>
    <t>2000-2500E E17</t>
  </si>
  <si>
    <t>3500E E17</t>
  </si>
  <si>
    <t>6000E E17</t>
  </si>
  <si>
    <t>8000E E17</t>
  </si>
  <si>
    <t>10000E E17</t>
  </si>
  <si>
    <t>12500E E17</t>
  </si>
  <si>
    <t>1500W E17</t>
  </si>
  <si>
    <t>Вентилятор круглый канальный LV-FDCP 100 E16</t>
  </si>
  <si>
    <t>http://www.lessar.com/ventilation/ruvent_solutions/ventilyatory_ruvent/lv-fdcp-ru/lv-fdcp100-ru/</t>
  </si>
  <si>
    <t>http://www.lessar.com/ventilation/ruvent_solutions/ventilyatory_ruvent/lv-fdcp-ru/lv-fdcp125-ru/</t>
  </si>
  <si>
    <t>http://www.lessar.com/ventilation/ruvent_solutions/ventilyatory_ruvent/lv-fdcp-ru/lv-fdcp160-ru/</t>
  </si>
  <si>
    <t>http://www.lessar.com/ventilation/ruvent_solutions/ventilyatory_ruvent/lv-fdcp-ru/lv-fdcp200-ru/</t>
  </si>
  <si>
    <t>http://www.lessar.com/ventilation/ruvent_solutions/ventilyatory_ruvent/lv-fdcp-ru/lv-fdcp250-ru/</t>
  </si>
  <si>
    <t>http://www.lessar.com/ventilation/ruvent_solutions/ventilyatory_ruvent/lv-fdcp-ru/lv-fdcp315-ru/</t>
  </si>
  <si>
    <t>Вентилятор круглый канальный LV-FDC 100 M E15</t>
  </si>
  <si>
    <t>Вентилятор круглый канальный LV-FDC 100 L E15</t>
  </si>
  <si>
    <t>Вентилятор круглый канальный LV-FDCP 125 E16</t>
  </si>
  <si>
    <t>Вентилятор круглый канальный LV-FDC 125 M E15</t>
  </si>
  <si>
    <t>Вентилятор круглый канальный LV-FDC 125 L E15</t>
  </si>
  <si>
    <t>Вентилятор шумоизолированный LV-FDCS 125M E15</t>
  </si>
  <si>
    <t>Вентилятор шумоизолированный LV-FDCS 125L E15</t>
  </si>
  <si>
    <t>Вентилятор канальный LV-FDC 125-ECO E15</t>
  </si>
  <si>
    <t>Вентилятор шумоизолированный LV-FDCS 125-ECO E15</t>
  </si>
  <si>
    <t>Вентилятор круглый канальный LV-FDC 160 M E15</t>
  </si>
  <si>
    <t>Вентилятор круглый канальный LV-FDCP 160 E16</t>
  </si>
  <si>
    <t>Вентилятор круглый канальный LV-FDC 160 L E15</t>
  </si>
  <si>
    <t>Вентилятор шумоизолированный LV-FDCS 160M E15</t>
  </si>
  <si>
    <t>Вентилятор канальный LV-FDC 160-ECO E15</t>
  </si>
  <si>
    <t>Вентилятор шумоизолированный LV-FDCS 160L E15</t>
  </si>
  <si>
    <t>Вентилятор шумоизолированный LV-FDCS 160-ECO E15</t>
  </si>
  <si>
    <t>Вентилятор круглый канальный LV-FDC 200 M E15</t>
  </si>
  <si>
    <t>Вентилятор круглый канальный LV-FDCP 200 E16</t>
  </si>
  <si>
    <t>Вентилятор круглый канальный LV-FDC 200 L E15</t>
  </si>
  <si>
    <t>Вентилятор канальный LV-FDC 200-ECO E15</t>
  </si>
  <si>
    <t>Вентилятор шумоизолированный LV-FDCS 200M E15</t>
  </si>
  <si>
    <t>Вентилятор шумоизолированный LV-FDCS 200L E15</t>
  </si>
  <si>
    <t>Вентилятор шумоизолированный LV-FDCS 200-ECO E15</t>
  </si>
  <si>
    <t>Вентилятор круглый канальный LV-FDC 250 M E15</t>
  </si>
  <si>
    <t>Вентилятор круглый канальный LV-FDCP 250 E16</t>
  </si>
  <si>
    <t>Вентилятор круглый канальный LV-FDC 250 L E15</t>
  </si>
  <si>
    <t>Вентилятор канальный LV-FDC 250-ECO E15</t>
  </si>
  <si>
    <t>Вентилятор шумоизолированный LV-FDCS 250M E15</t>
  </si>
  <si>
    <t>Вентилятор шумоизолированный LV-FDCS 250S E15</t>
  </si>
  <si>
    <t>Вентилятор шумоизолированный LV-FDCS 250-ECO E15</t>
  </si>
  <si>
    <t>Вентилятор шумоизолированный LV-FDCS 250L E15</t>
  </si>
  <si>
    <t>Вентилятор круглый канальный LV-FDCP 315 E16</t>
  </si>
  <si>
    <t>Вентилятор круглый канальный LV-FDC 315 M E15</t>
  </si>
  <si>
    <t>Вентилятор круглый канальный LV-FDC 315 L E15</t>
  </si>
  <si>
    <t>Вентилятор канальный LV-FDC 315-ECO E15</t>
  </si>
  <si>
    <t>Вентилятор шумоизолированный LV-FDCS 315M E15</t>
  </si>
  <si>
    <t>Вентилятор шумоизолированный LV-FDCS 315L E15</t>
  </si>
  <si>
    <t>Вентилятор шумоизолированный LV-FDCS 315-ECO E15</t>
  </si>
  <si>
    <t>Вентилятор прямоугольный канальный LV-FDTA 400x200-4-3 E15</t>
  </si>
  <si>
    <t>Вентилятор прямоугольный канальный LV-FDTA 400x200-4-1 E15</t>
  </si>
  <si>
    <t>Вентилятор прямоугольный канальный LV-FDTA 500x250-4-1 E15</t>
  </si>
  <si>
    <t>Вентилятор прямоугольный канальный LV-FDTA 500x250-4-3 E15</t>
  </si>
  <si>
    <t>Вентилятор шумоизолированный LV-FDTS 500x250-4-3 E15</t>
  </si>
  <si>
    <t>Вентилятор прямоугольный канальный LV-FDTС 500x300-2-3 E16</t>
  </si>
  <si>
    <t>Вентилятор прямоугольный канальный LV-FDTA 500x300-6-1 E15</t>
  </si>
  <si>
    <t>Вентилятор прямоугольный канальный LV-FDTA 500x300-4-1 E15</t>
  </si>
  <si>
    <t>Вентилятор прямоугольный канальный LV-FDTA 500x300-4-3 E15</t>
  </si>
  <si>
    <t>Вентилятор шумоизолированный LV-FDTS 500x300-4-1 E15</t>
  </si>
  <si>
    <t>Вентилятор шумоизолированный LV-FDTS 500x300-4-3 E15</t>
  </si>
  <si>
    <t>Вентилятор шумоизолированный LV-FDTS 500x300-2-3 E16</t>
  </si>
  <si>
    <t>Вентилятор прямоугольный канальный LV-FDTB 600x300-4-3 E15</t>
  </si>
  <si>
    <t>Вентилятор прямоугольный канальный LV-FDTB 600x300-4-1 E15</t>
  </si>
  <si>
    <t>Вентилятор прямоугольный канальный LV-FDTA 600x300-6-3 E15</t>
  </si>
  <si>
    <t>Вентилятор прямоугольный канальный LV-FDTС 600x300-2-3 E16</t>
  </si>
  <si>
    <t>Вентилятор прямоугольный канальный LV-FDTA 600x300-4-3 E15</t>
  </si>
  <si>
    <t>Вентилятор прямоугольный канальный LV-FDTA 600x300-6-1 E15</t>
  </si>
  <si>
    <t>Вентилятор прямоугольный канальный LV-FDTA 600x300-4-1 E15</t>
  </si>
  <si>
    <t>Вентилятор шумоизолированный LV-FDTS 600x300-4-3 E15</t>
  </si>
  <si>
    <t>Вентилятор шумоизолированный LV-FDTS 600x300-4-1 E15</t>
  </si>
  <si>
    <t>Вентилятор шумоизолированный LV-FDTS 600x300-2-3 E16</t>
  </si>
  <si>
    <t>Вентилятор прямоугольный канальный LV-FDTB 600x350-4-1 E15</t>
  </si>
  <si>
    <t>Вентилятор прямоугольный канальный LV-FDTB 600x350-4-3 E15</t>
  </si>
  <si>
    <t>Вентилятор прямоугольный канальный LV-FDTС 600x350-2-3 E16</t>
  </si>
  <si>
    <t>Вентилятор прямоугольный канальный LV-FDTA 600x350-6-3 E15</t>
  </si>
  <si>
    <t>Вентилятор прямоугольный канальный LV-FDTA 600x350-4-3 E15</t>
  </si>
  <si>
    <t>Вентилятор прямоугольный канальный LV-FDTA 600x350-4-1 E15</t>
  </si>
  <si>
    <t>Вентилятор шумоизолированный LV-FDTS 600x350-4-3 E15</t>
  </si>
  <si>
    <t>Вентилятор шумоизолированный LV-FDTS 600x350-4-1 E15</t>
  </si>
  <si>
    <t>Вентилятор шумоизолированный LV-FDTS 600x350-2-3 E16</t>
  </si>
  <si>
    <t>Вентилятор прямоугольный канальный LV-FDTС 700x400-2-3 E16</t>
  </si>
  <si>
    <t>Вентилятор прямоугольный канальный LV-FDTB 700x400-4-1 E15</t>
  </si>
  <si>
    <t>Вентилятор прямоугольный канальный LV-FDTB 700x400-4-3 E15</t>
  </si>
  <si>
    <t>Вентилятор прямоугольный канальный LV-FDTA 700x400-6-3 E15</t>
  </si>
  <si>
    <t>Вентилятор шумоизолированный LV-FDTS 700x400-2-3 E16</t>
  </si>
  <si>
    <t>Вентилятор прямоугольный канальный LV-FDTA 700x400-4-3 E15</t>
  </si>
  <si>
    <t>Вентилятор шумоизолированный LV-FDTS 700x400-4-3 E15</t>
  </si>
  <si>
    <t>Вентилятор прямоугольный канальный LV-FDTB 800x500-4-1 E15</t>
  </si>
  <si>
    <t>Вентилятор прямоугольный канальный LV-FDTС 800x500-2-3 E16</t>
  </si>
  <si>
    <t>Вентилятор прямоугольный канальный LV-FDTA 800x500-8-3 E15</t>
  </si>
  <si>
    <t>Вентилятор прямоугольный канальный LV-FDTB 800x500-4-3 E15</t>
  </si>
  <si>
    <t>Вентилятор прямоугольный канальный LV-FDTA 800x500-6-3 E15</t>
  </si>
  <si>
    <t>Вентилятор шумоизолированный LV-FDTS 800x500-2-3 E16</t>
  </si>
  <si>
    <t>Вентилятор прямоугольный канальный LV-FDTA 800x500-4-3 E15</t>
  </si>
  <si>
    <t>Вентилятор шумоизолированный LV-FDTS 800x500-6-3 E15</t>
  </si>
  <si>
    <t>Вентилятор шумоизолированный LV-FDTS 800x500-4-3 E15</t>
  </si>
  <si>
    <t>Вентилятор прямоугольный канальный LV-FDTС 900x500-2-3 E16</t>
  </si>
  <si>
    <t>Вентилятор шумоизолированный LV-FDTS 900x500-2-3 E16</t>
  </si>
  <si>
    <t>Вентилятор прямоугольный канальный LV-FDTС 1000x500-2-3 E16</t>
  </si>
  <si>
    <t>Вентилятор прямоугольный канальный LV-FDTA 1000x500-8-3 E15</t>
  </si>
  <si>
    <t>Вентилятор прямоугольный канальный LV-FDTA 1000x500-6-3 E15</t>
  </si>
  <si>
    <t>Вентилятор прямоугольный канальный LV-FDTA 1000x500-4-3 E15</t>
  </si>
  <si>
    <t>Вентилятор шумоизолированный LV-FDTS 1000x500-2-3 E16</t>
  </si>
  <si>
    <t>Вентилятор прямоугольный канальный LV-FDTB 1000x500-4-3 E15</t>
  </si>
  <si>
    <t>Вентилятор шумоизолированный LV-FDTS 1000x500-6-3 E15</t>
  </si>
  <si>
    <t>Вентилятор шумоизолированный LV-FDTS 1000x500-4-3 E15</t>
  </si>
  <si>
    <t>Вентилятор кухонный радиальный LV-FKE 160-4-3 E15</t>
  </si>
  <si>
    <t>Вентилятор кухонный радиальный LV-FKE 180-4-3 E15</t>
  </si>
  <si>
    <t>Вентилятор кухонный радиальный LV-FKE 200-4-3 E15</t>
  </si>
  <si>
    <t>Вентилятор кухонный радиальный LV-FKE 225-4-3 E15</t>
  </si>
  <si>
    <t>Вентилятор кухонный радиальный LV-FKE 250-4-3 E15</t>
  </si>
  <si>
    <t>Вентилятор кухонный радиальный LV-FKE 280-4-3 E15</t>
  </si>
  <si>
    <t>Вентилятор кухонный радиальный LV-FKE 315-4-3 E15</t>
  </si>
  <si>
    <t>Вентилятор кухонный радиальный LV-FKE 355-4-3 E15</t>
  </si>
  <si>
    <t>Вентилятор кухонный радиальный LV-FKE 400-4-3 E15</t>
  </si>
  <si>
    <t>Вентилятор кухонный LV-FKQ 250-2-3 E16</t>
  </si>
  <si>
    <t>Вентилятор кухонный LV-FKQ 280-2-3 E16</t>
  </si>
  <si>
    <t>Вентилятор кухонный LV-FKQ 311-2-3 E16</t>
  </si>
  <si>
    <t>Вентилятор кухонный LV-FKQ 355-2-3 E16</t>
  </si>
  <si>
    <t>Вентилятор кухонный LV-FKQ 400-2-3 E16</t>
  </si>
  <si>
    <t>Вентилятор кухонный LV-FKQ 450-4-3 E16</t>
  </si>
  <si>
    <t>Вентилятор кухонный LV-FKQ 450-2-3 E16</t>
  </si>
  <si>
    <t>Вентилятор кухонный LV-FKQ 500-4-3 E16</t>
  </si>
  <si>
    <t>Вентилятор кухонный LV-FKQ 560-4-3 E16</t>
  </si>
  <si>
    <t>Вентилятор кухонный LV-FKQ 630-4-3 E16</t>
  </si>
  <si>
    <t>Вентилятор кухонный LV-FKQ 710-4-3 E16</t>
  </si>
  <si>
    <t>http://www.lessar.com/ventilation/rational_solutions/ventilyatory/lv-fdc-e15/lv-fds-100m-e15/</t>
  </si>
  <si>
    <t>http://www.lessar.com/ventilation/rational_solutions/ventilyatory/lv-fdc-e15/lv-fds-100l-e15/</t>
  </si>
  <si>
    <t>http://www.lessar.com/ventilation/rational_solutions/ventilyatory/lv-fdc-e15/lv-fds-125m-e15/</t>
  </si>
  <si>
    <t>http://www.lessar.com/ventilation/rational_solutions/ventilyatory/lv-fdc-e15/lv-fds-125l-e15/</t>
  </si>
  <si>
    <t>http://www.lessar.com/ventilation/rational_solutions/ventilyatory/lv-fdc-e15/lv-fds-160m-e15/</t>
  </si>
  <si>
    <t>http://www.lessar.com/ventilation/rational_solutions/ventilyatory/lv-fdc-e15/lv-fds-160l-e15/</t>
  </si>
  <si>
    <t>http://www.lessar.com/ventilation/rational_solutions/ventilyatory/lv-fdc-e15/lv-fds-200m-e15/</t>
  </si>
  <si>
    <t>http://www.lessar.com/ventilation/rational_solutions/ventilyatory/lv-fdc-e15/lv-fds-200l-e15/</t>
  </si>
  <si>
    <t>http://www.lessar.com/ventilation/rational_solutions/ventilyatory/lv-fdc-e15/lv-fds-250m-e15/</t>
  </si>
  <si>
    <t>http://www.lessar.com/ventilation/rational_solutions/ventilyatory/lv-fdc-e15/lv-fds-250l-e15/</t>
  </si>
  <si>
    <t>http://www.lessar.com/ventilation/rational_solutions/ventilyatory/lv-fdc-e15/lv-fds-315m-e15/</t>
  </si>
  <si>
    <t>http://www.lessar.com/ventilation/rational_solutions/ventilyatory/lv-fdc-e15/lv-fds-315l-e15/</t>
  </si>
  <si>
    <t>http://www.lessar.com/ventilation/progressive_solutions/ventilyatory_ECO/lv-fdc-eco/lv-fdc-125-eco/</t>
  </si>
  <si>
    <t>http://www.lessar.com/ventilation/progressive_solutions/ventilyatory_ECO/lv-fdc-eco/lv-fdc-160-eco/</t>
  </si>
  <si>
    <t>http://www.lessar.com/ventilation/progressive_solutions/ventilyatory_ECO/lv-fdc-eco/lv-fdc-200-eco/</t>
  </si>
  <si>
    <t>http://www.lessar.com/ventilation/progressive_solutions/ventilyatory_ECO/lv-fdc-eco/lv-fdc-250-eco/</t>
  </si>
  <si>
    <t>http://www.lessar.com/ventilation/progressive_solutions/ventilyatory_ECO/lv-fdc-eco/lv-fdc-315-eco/</t>
  </si>
  <si>
    <t>Рекуператор пластинчатый LV-PDT 400x200 E16</t>
  </si>
  <si>
    <t>Рекуператор пластинчатый LV-PDT 500x250 E16</t>
  </si>
  <si>
    <t>Рекуператор пластинчатый LV-PDT 500x300 E16</t>
  </si>
  <si>
    <t>Рекуператор пластинчатый LV-PDT 600x300 E16</t>
  </si>
  <si>
    <t>Рекуператор пластинчатый LV-PDT 600x350 E16</t>
  </si>
  <si>
    <t>Рекуператор пластинчатый LV-PDT 700x400 E16</t>
  </si>
  <si>
    <t>Рекуператор пластинчатый LV-PDT 800x500 E16</t>
  </si>
  <si>
    <t>Рекуператор пластинчатый LV-PDT 900x500 E16</t>
  </si>
  <si>
    <t>Рекуператор пластинчатый LV-PDT 1000x500 E16</t>
  </si>
  <si>
    <t>http://www.lessar.com/ventilation/ruvent_solutions/aksessuary-ru-vent/accessories_for_chanal_fans/kanalnie-rekuperatory/lv-pdt-ru-all/</t>
  </si>
  <si>
    <t>Шумоглушитель LV-SDC 100-6 E16</t>
  </si>
  <si>
    <t>Шумоглушитель LV-SDC 100-9 E16</t>
  </si>
  <si>
    <t>Шумоглушитель LV-SDC 125-6 E16</t>
  </si>
  <si>
    <t>Шумоглушитель LV-SDC 125-9 E16</t>
  </si>
  <si>
    <t>Шумоглушитель LV-SDC 160-6 E16</t>
  </si>
  <si>
    <t>Шумоглушитель LV-SDC 160-9 E16</t>
  </si>
  <si>
    <t>Шумоглушитель LV-SDC 200-6 E16</t>
  </si>
  <si>
    <t>Шумоглушитель LV-SDC 200-9 E16</t>
  </si>
  <si>
    <t>Шумоглушитель LV-SDC 250-6 E16</t>
  </si>
  <si>
    <t>Шумоглушитель LV-SDC 250-9 E16</t>
  </si>
  <si>
    <t>Шумоглушитель LV-SDC 315-6 E16</t>
  </si>
  <si>
    <t>Шумоглушитель LV-SDC 315-9 E16</t>
  </si>
  <si>
    <t>Шумоглушитель LV-SDTA 400x200 E16</t>
  </si>
  <si>
    <t>Шумоглушитель LV-SDTA 500x250 E16</t>
  </si>
  <si>
    <t>Шумоглушитель LV-SDTA 500x300 E16</t>
  </si>
  <si>
    <t>Шумоглушитель LV-SDTA 600x300 E16</t>
  </si>
  <si>
    <t>Шумоглушитель LV-SDTA 600x350 E16</t>
  </si>
  <si>
    <t>Шумоглушитель LV-SDTA 700x400 E16</t>
  </si>
  <si>
    <t>Шумоглушитель LV-SDTA 800x500 E16</t>
  </si>
  <si>
    <t>Шумоглушитель LV-SDTA 900x500 E16</t>
  </si>
  <si>
    <t>Шумоглушитель LV-SDTA 1000x500 E16</t>
  </si>
  <si>
    <t>Шумоглушитель LV-SDQA 250 E16</t>
  </si>
  <si>
    <t>Шумоглушитель LV-SDQA 280 E16</t>
  </si>
  <si>
    <t>Шумоглушитель LV-SDQA 310 E16</t>
  </si>
  <si>
    <t>Шумоглушитель LV-SDQA 355 E16</t>
  </si>
  <si>
    <t>Шумоглушитель LV-SDQA 400 E16</t>
  </si>
  <si>
    <t>Шумоглушитель LV-SDQA 450 E16</t>
  </si>
  <si>
    <t>Шумоглушитель LV-SDQA 500 E16</t>
  </si>
  <si>
    <t>Шумоглушитель LV-SDQA 560 E16</t>
  </si>
  <si>
    <t>Шумоглушитель LV-SDQA 630 E16</t>
  </si>
  <si>
    <t>Шумоглушитель LV-SDQA 710 E16</t>
  </si>
  <si>
    <t>http://www.lessar.com/ventilation/ruvent_solutions/aksessuary-ru-vent/accessories_for_chanal_fans/shumoglushiteli/lv-sdc-ru-all/</t>
  </si>
  <si>
    <t>Шумоглушитель LV-SDC-400-9 E15</t>
  </si>
  <si>
    <t>Шумоглушитель LV-SDC-500-9 E15</t>
  </si>
  <si>
    <t>Шумоглушитель LV-SDC-630-9 E15</t>
  </si>
  <si>
    <t>Шумоглушитель LV-SDC-800-9 E15</t>
  </si>
  <si>
    <t>http://www.lessar.com/ventilation/aksessuary/aksessuary_dlya_kanalnoy_ventilyatsii/silencers/lv-sdc-all/</t>
  </si>
  <si>
    <t>http://www.lessar.com/ventilation/ruvent_solutions/aksessuary-ru-vent/accessories_for_chanal_fans/shumoglushiteli/lv-sdta-ru-all/</t>
  </si>
  <si>
    <t>Заслонка воздушная LV-BDCM 100H E16</t>
  </si>
  <si>
    <t>Заслонка воздушная LV-BDCM 125H E16</t>
  </si>
  <si>
    <t>Заслонка воздушная LV-BDCM 160H E16</t>
  </si>
  <si>
    <t>Заслонка воздушная LV-BDCM 200H E16</t>
  </si>
  <si>
    <t>Заслонка воздушная LV-BDCM 250H E16</t>
  </si>
  <si>
    <t>Заслонка воздушная LV-BDCM 315H E16</t>
  </si>
  <si>
    <t>Заслонка воздушная LV-BDTM 400x200 E16</t>
  </si>
  <si>
    <t>Заслонка воздушная LV-BDTM 400x200-W E16</t>
  </si>
  <si>
    <t>Заслонка воздушная LV-BDTM 500x250 E16</t>
  </si>
  <si>
    <t>Заслонка воздушная LV-BDTM 500x250-W E16</t>
  </si>
  <si>
    <t>Заслонка воздушная LV-BDTM 500x300 E16</t>
  </si>
  <si>
    <t>Заслонка воздушная LV-BDTM 500x300-W E16</t>
  </si>
  <si>
    <t>Заслонка воздушная LV-BDTM 600x300 E16</t>
  </si>
  <si>
    <t>Заслонка воздушная LV-BDTM 600x300-W E16</t>
  </si>
  <si>
    <t>Заслонка воздушная LV-BDTM 600x350 E16</t>
  </si>
  <si>
    <t>Заслонка воздушная LV-BDTM 600x350-W E16</t>
  </si>
  <si>
    <t>Заслонка воздушная LV-BDTM 700x400 E16</t>
  </si>
  <si>
    <t>Заслонка воздушная LV-BDTM 700x400-W E16</t>
  </si>
  <si>
    <t>Заслонка воздушная LV-BDTM 800x500 E16</t>
  </si>
  <si>
    <t>Заслонка воздушная LV-BDTM 800x500-W E16</t>
  </si>
  <si>
    <t>Заслонка воздушная LV-BDTM 900x500 E16</t>
  </si>
  <si>
    <t>Заслонка воздушная LV-BDTM 900x500-W E16</t>
  </si>
  <si>
    <t>Заслонка воздушная LV-BDTM 1000x500 E16</t>
  </si>
  <si>
    <t>Заслонка воздушная LV-BDTM 1000x500-W E16</t>
  </si>
  <si>
    <t>Клапан обратный LV-TDC 100 E15</t>
  </si>
  <si>
    <t>Клапан обратный LV-TDC 125 E15</t>
  </si>
  <si>
    <t>Клапан обратный LV-TDC 160 E15</t>
  </si>
  <si>
    <t>Клапан обратный LV-TDC 200 E15</t>
  </si>
  <si>
    <t>Клапан обратный LV-TDC 250 E15</t>
  </si>
  <si>
    <t>Клапан обратный LV-TDC 315 E15</t>
  </si>
  <si>
    <t>Клапан обратный LV-TDC 355 E15</t>
  </si>
  <si>
    <t>Клапан обратный LV-TDC 400 E15</t>
  </si>
  <si>
    <t>Клапан обратный LV-TDC 450 E15</t>
  </si>
  <si>
    <t>Клапан обратный LV-TDC 500 E15</t>
  </si>
  <si>
    <t>http://www.lessar.com/ventilation/aksessuary/aksessuary_dlya_kanalnoy_ventilyatsii/air_closer/lv-tdc-all/</t>
  </si>
  <si>
    <t>Заслонка воздушная LV-BDCM 355 Н E15</t>
  </si>
  <si>
    <t>Заслонка воздушная LV-BDCM 400 Н E15</t>
  </si>
  <si>
    <t>Заслонка воздушная LV-BDCM 450 Н E15</t>
  </si>
  <si>
    <t>Заслонка воздушная LV-BDCM 500 Н E15</t>
  </si>
  <si>
    <t>Заслонка воздушная LV-BDCM 630 Н E15</t>
  </si>
  <si>
    <t>http://www.lessar.com/ventilation/ruvent_solutions/aksessuary-ru-vent/accessories_for_chanal_fans/vozdushnie-zaslonki/lv-bdcm-h-ru-all/</t>
  </si>
  <si>
    <t>http://www.lessar.com/ventilation/aksessuary/aksessuary_dlya_kanalnoy_ventilyatsii/air_closer/lv-bdcm-h-all/</t>
  </si>
  <si>
    <t>Заслонка воздушная LV-BDCA 100 E15</t>
  </si>
  <si>
    <t>Заслонка воздушная LV-BDCA 125 E15</t>
  </si>
  <si>
    <t>Заслонка воздушная LV-BDCA 160 E15</t>
  </si>
  <si>
    <t>Заслонка воздушная LV-BDCA 200 E15</t>
  </si>
  <si>
    <t>Заслонка воздушная LV-BDCA 250 E15</t>
  </si>
  <si>
    <t>Заслонка воздушная LV-BDCA 315 E15</t>
  </si>
  <si>
    <t>Заслонка воздушная LV-BDCA 355 E15</t>
  </si>
  <si>
    <t>Заслонка воздушная LV-BDCA 400 E15</t>
  </si>
  <si>
    <t>Заслонка воздушная LV-BDCA 450 E15</t>
  </si>
  <si>
    <t>Заслонка воздушная LV-BDCA 500 E15</t>
  </si>
  <si>
    <t>Заслонка воздушная LV-BDCA 630 E15</t>
  </si>
  <si>
    <t>http://www.lessar.com/ventilation/aksessuary/aksessuary_dlya_kanalnoy_ventilyatsii/air_closer/lv-bdca-all/</t>
  </si>
  <si>
    <t>http://www.lessar.com/ventilation/ruvent_solutions/aksessuary-ru-vent/accessories_for_chanal_fans/vozdushnie-zaslonki/lv-bdtm-ru-all/</t>
  </si>
  <si>
    <t>Заслонка воздушная LV-BDQM 250 E16</t>
  </si>
  <si>
    <t>Заслонка воздушная LV-BDQM 280 E16</t>
  </si>
  <si>
    <t>Заслонка воздушная LV-BDQM 310 E16</t>
  </si>
  <si>
    <t>Заслонка воздушная LV-BDQM 355 E16</t>
  </si>
  <si>
    <t>Заслонка воздушная LV-BDQM 400 E16</t>
  </si>
  <si>
    <t>Заслонка воздушная LV-BDQM 450 E16</t>
  </si>
  <si>
    <t>Заслонка воздушная LV-BDQM 500 E16</t>
  </si>
  <si>
    <t>Заслонка воздушная LV-BDQM 560 E16</t>
  </si>
  <si>
    <t>Заслонка воздушная LV-BDQM 630 E16</t>
  </si>
  <si>
    <t>Заслонка воздушная LV-BDQM 710 E16</t>
  </si>
  <si>
    <t>http://www.lessar.com/ventilation/ruvent_solutions/aksessuary-ru-vent/aksessuary-dlya-kuhonnikov/lv-bdqm-ru-all/</t>
  </si>
  <si>
    <t>Клапан обратный LV-TDCJ 190 E15 (для LV-FRCH 175-190)</t>
  </si>
  <si>
    <t>Клапан обратный LV-TDCJ 250 E15 (для LV-FRCV, -FRCH 250)</t>
  </si>
  <si>
    <t>Клапан обратный LV-TDCJ 311 E15 (для LV-FRCV, -FRCS, -FRCS ECO )</t>
  </si>
  <si>
    <t>Клапан обратный LV-TDCJ 355-500 E15 (для LV-FRCV, -FRCS / ECO)</t>
  </si>
  <si>
    <t>Клапан обратный LV-TDCJ 560-630 E15 (для LV-FRCV, -FRCS / ECO)</t>
  </si>
  <si>
    <t>Клапан обратный LV-TDCJ 710 E15 (для LV-FRCV, -FRCS)</t>
  </si>
  <si>
    <t>http://www.lessar.com/ventilation/aksessuary/aksessuary_dlya_kryshnoy_ventilyatsii/lv-tdcj-all/</t>
  </si>
  <si>
    <t>Охладитель водяной LV-CDCW 100-3 E15</t>
  </si>
  <si>
    <t>Охладитель водяной LV-CDCW 125-3 E15</t>
  </si>
  <si>
    <t>Охладитель водяной LV-CDTW 400x200-3 E16</t>
  </si>
  <si>
    <t>Охладитель фреоновый LV-CDTF 400x200-3 E16</t>
  </si>
  <si>
    <t>Охладитель водяной LV-CDTW 500x250-3 E16</t>
  </si>
  <si>
    <t>Охладитель фреоновый LV-CDTF 500x250-3 E16</t>
  </si>
  <si>
    <t>Охладитель водяной LV-CDTW 500x300-3 E16</t>
  </si>
  <si>
    <t>Охладитель фреоновый LV-CDTF 500x300-3 E16</t>
  </si>
  <si>
    <t>Охладитель водяной LV-CDTW 600x300-3 E16</t>
  </si>
  <si>
    <t>Охладитель фреоновый LV-CDTF 600x300-3 E16</t>
  </si>
  <si>
    <t>Охладитель водяной LV-CDTW 600x350-3 E16</t>
  </si>
  <si>
    <t>Охладитель фреоновый LV-CDTF 600x350-3 E16</t>
  </si>
  <si>
    <t>Охладитель водяной LV-CDTW 700x400-3 E16</t>
  </si>
  <si>
    <t>Охладитель фреоновый LV-CDTF 700x400-3 E16</t>
  </si>
  <si>
    <t>Охладитель водяной LV-CDTW 800x500-3 E16</t>
  </si>
  <si>
    <t>Охладитель фреоновый LV-CDTF 800x500-3 E16</t>
  </si>
  <si>
    <t>Охладитель водяной LV-CDTW 900x500-3 E16</t>
  </si>
  <si>
    <t>Охладитель фреоновый LV-CDTF 900x500-3  E16</t>
  </si>
  <si>
    <t>Охладитель водяной LV-CDTW 1000x500-3 E16</t>
  </si>
  <si>
    <t>Охладитель фреоновый LV-CDTF 1000x500-3 E16</t>
  </si>
  <si>
    <t>Охладитель водяной LV-CDCW 160-3 E15</t>
  </si>
  <si>
    <t>Охладитель водяной LV-CDCW 200-3 E15</t>
  </si>
  <si>
    <t>Охладитель водяной LV-CDCW 250-3 E15</t>
  </si>
  <si>
    <t>Охладитель водяной LV-CDCW 315-3 E15</t>
  </si>
  <si>
    <t>Охладитель водяной LV-CDCW 400-3 E15</t>
  </si>
  <si>
    <t>http://www.lessar.com/ventilation/aksessuary/aksessuary_dlya_kanalnoy_ventilyatsii/coolers/lv-cdcw-all/</t>
  </si>
  <si>
    <t>http://www.lessar.com/ventilation/ruvent_solutions/aksessuary-ru-vent/accessories_for_chanal_fans/kanalnie-ohladiteli/lv-cdtw-ru-all/</t>
  </si>
  <si>
    <t>http://www.lessar.com/ventilation/ruvent_solutions/aksessuary-ru-vent/accessories_for_chanal_fans/kanalnie-ohladiteli/lv-cdtf-ru-all/</t>
  </si>
  <si>
    <t>Нагреватель электрический LV-HDCE 100-1-1 E16</t>
  </si>
  <si>
    <t>Нагреватель электрический LV-HDCE 100-2-1 E16</t>
  </si>
  <si>
    <t>Нагреватель электрический LV-HDCE 125-1-1 E16</t>
  </si>
  <si>
    <t>Нагреватель электрический LV-HDCE 125-2-1 E16</t>
  </si>
  <si>
    <t>Нагреватель электрический LV-HDCE 125-3-1 E16</t>
  </si>
  <si>
    <t>Нагреватель электрический LV-HDCE 160-2-1 E16</t>
  </si>
  <si>
    <t>Нагреватель электрический LV-HDCE 160-3-1 E16</t>
  </si>
  <si>
    <t>Нагреватель электрический LV-HDCE 160-6-3 E16</t>
  </si>
  <si>
    <t>Нагреватель водяной LV-HDCW 160-2 E16</t>
  </si>
  <si>
    <t>Нагреватель электрический LV-HDCE 200-3-1 E16</t>
  </si>
  <si>
    <t>Нагреватель электрический LV-HDCE 200-6-3 E16</t>
  </si>
  <si>
    <t>Нагреватель электрический LV-HDCE 200-9-3 E16</t>
  </si>
  <si>
    <t>Нагреватель электрический LV-HDCE 200-12-3 E16</t>
  </si>
  <si>
    <t>Нагреватель водяной LV-HDCW 200-2 E16</t>
  </si>
  <si>
    <t>Нагреватель электрический LV-HDCE 250-6-3 E16</t>
  </si>
  <si>
    <t>Нагреватель электрический LV-HDCE 250-9-3 E16</t>
  </si>
  <si>
    <t>Нагреватель электрический LV-HDCE 250-12-3 E16</t>
  </si>
  <si>
    <t>Нагреватель электрический LV-HDCE 250-15-3 E16</t>
  </si>
  <si>
    <t>Нагреватель водяной LV-HDCW 250-2 E16</t>
  </si>
  <si>
    <t>Нагреватель электрический LV-HDCE 315-6-3 E16</t>
  </si>
  <si>
    <t>Нагреватель электрический LV-HDCE 315-9-3 E16</t>
  </si>
  <si>
    <t>Нагреватель электрический LV-HDCE 315-12-3 E16</t>
  </si>
  <si>
    <t>Нагреватель электрический LV-HDCE 315-15-3 E16</t>
  </si>
  <si>
    <t>Нагреватель электрический LV-HDCE 315-18-3 E16</t>
  </si>
  <si>
    <t>Нагреватель водяной LV-HDCW 315-2 E16</t>
  </si>
  <si>
    <t>Нагреватель электрический LV-HDTE-D 400x200-3-1 E16</t>
  </si>
  <si>
    <t>Нагреватель электрический LV-HDTE-D 400x200-6-2 E16</t>
  </si>
  <si>
    <t>Нагреватель электрический LV-HDTE-D 400x200-8-3 E16</t>
  </si>
  <si>
    <t>Нагреватель электрический LV-HDTE-D 400x200-16-3 E16</t>
  </si>
  <si>
    <t>Нагреватель электрический LV-HDTE-D 400x200-24-3 E16</t>
  </si>
  <si>
    <t>Нагреватель водяной LV-HDTW 400x200-2 E16</t>
  </si>
  <si>
    <t>Нагреватель водяной LV-HDTW 400x200-3 E16</t>
  </si>
  <si>
    <t>Нагреватель электрический LV-HDTE-D 500x250-8-3 E16</t>
  </si>
  <si>
    <t>Нагреватель электрический LV-HDTE-D 500x250-16-3 E16</t>
  </si>
  <si>
    <t>Нагреватель электрический LV-HDTE-D 500x250-24-3 E16</t>
  </si>
  <si>
    <t>Нагреватель электрический LV-HDTE-D 500x250-32-3 E16</t>
  </si>
  <si>
    <t>Нагреватель водяной LV-HDTW 500x250-2 E16</t>
  </si>
  <si>
    <t>Нагреватель водяной LV-HDTW 500x250-3 E16</t>
  </si>
  <si>
    <t>Нагреватель электрический LV-HDTE-D 500x300-12-3 E16</t>
  </si>
  <si>
    <t>Нагреватель электрический LV-HDTE-D 500x300-24-3 E16</t>
  </si>
  <si>
    <t>Нагреватель электрический LV-HDTE-D 500x300-36-3 E16</t>
  </si>
  <si>
    <t>Нагреватель электрический LV-HDTE-D 500x300-48-3 E16</t>
  </si>
  <si>
    <t>Нагреватель водяной LV-HDTW 500x300-2 E16</t>
  </si>
  <si>
    <t>Нагреватель водяной LV-HDTW 500x300-3 E16</t>
  </si>
  <si>
    <t>Нагреватель электрический LV-HDTE-D 600x300-12-3 E16</t>
  </si>
  <si>
    <t>Нагреватель электрический LV-HDTE-D 600x300-24-3 E16</t>
  </si>
  <si>
    <t>Нагреватель электрический LV-HDTE-D 600x300-36-3 E16</t>
  </si>
  <si>
    <t>Нагреватель электрический LV-HDTE-D 600x300-48-3 E16</t>
  </si>
  <si>
    <t>Нагреватель водяной LV-HDTW 600x300-2 E16</t>
  </si>
  <si>
    <t>Нагреватель водяной LV-HDTW 600x300-3 E16</t>
  </si>
  <si>
    <t>Нагреватель электрический LV-HDTE-D 600x350-12-3 E16</t>
  </si>
  <si>
    <t>Нагреватель электрический LV-HDTE-D 600x350-24-3 E16</t>
  </si>
  <si>
    <t>Нагреватель электрический LV-HDTE-D 600x350-36-3 E16</t>
  </si>
  <si>
    <t>Нагреватель электрический LV-HDTE-D 600x350-48-3 E16</t>
  </si>
  <si>
    <t>Нагреватель водяной LV-HDTW 600x350-2 E16</t>
  </si>
  <si>
    <t>Нагреватель водяной LV-HDTW 600x350-3 E16</t>
  </si>
  <si>
    <t>Нагреватель электрический LV-HDTE-D 700x400-16-3 E16</t>
  </si>
  <si>
    <t>Нагреватель электрический LV-HDTE-D 700x400-32-3 E16</t>
  </si>
  <si>
    <t>Нагреватель электрический LV-HDTE-D 700x400-48-3 E16</t>
  </si>
  <si>
    <t>Нагреватель электрический LV-HDTE-D 700x400-64-3 E16</t>
  </si>
  <si>
    <t>Нагреватель водяной LV-HDTW 700x400-2 E16</t>
  </si>
  <si>
    <t>Нагреватель водяной LV-HDTW 700x400-3 E16</t>
  </si>
  <si>
    <t>Нагреватель электрический LV-HDTE-D 800x500-16-3 E16</t>
  </si>
  <si>
    <t>Нагреватель электрический LV-HDTE-D 800x500-32-3 E16</t>
  </si>
  <si>
    <t>Нагреватель электрический LV-HDTE-D 800x500-48-3 E16</t>
  </si>
  <si>
    <t>Нагреватель электрический LV-HDTE-D 800x500-64-3 E16</t>
  </si>
  <si>
    <t>Нагреватель водяной LV-HDTW 800x500-2 E16</t>
  </si>
  <si>
    <t>Нагреватель водяной LV-HDTW 800x500-3 E16</t>
  </si>
  <si>
    <t>Нагреватель электрический LV-HDTE-D 900x500-16-3 E16</t>
  </si>
  <si>
    <t>Нагреватель электрический LV-HDTE-D 900x500-32-3 E16</t>
  </si>
  <si>
    <t>Нагреватель электрический LV-HDTE-D 900x500-48-3 E16</t>
  </si>
  <si>
    <t>Нагреватель электрический LV-HDTE-D 900x500-64-3 E16</t>
  </si>
  <si>
    <t>Нагреватель водяной LV-HDTW 900x500-2 E16</t>
  </si>
  <si>
    <t>Нагреватель водяной LV-HDTW 900x500-3 E16</t>
  </si>
  <si>
    <t>Нагреватель электрический LV-HDTE-D 1000x500-16-3 E16</t>
  </si>
  <si>
    <t>Нагреватель электрический LV-HDTE-D 1000x500-32-3 E16</t>
  </si>
  <si>
    <t>Нагреватель электрический LV-HDTE-D 1000x500-48-3 E16</t>
  </si>
  <si>
    <t>Нагреватель электрический LV-HDTE-D 1000x500-64-3 E16</t>
  </si>
  <si>
    <t>Нагреватель водяной LV-HDTW 1000x500-2 E16</t>
  </si>
  <si>
    <t>Нагреватель водяной LV-HDTW 1000x500-3 E16</t>
  </si>
  <si>
    <t>http://www.lessar.com/ventilation/ruvent_solutions/aksessuary-ru-vent/accessories_for_chanal_fans/kanalnye-nagrevateli/lv-hdcw-ru-all/</t>
  </si>
  <si>
    <t>http://www.lessar.com/ventilation/ruvent_solutions/aksessuary-ru-vent/accessories_for_chanal_fans/kanalnye-nagrevateli/lv-hdtw-ru-all/</t>
  </si>
  <si>
    <t>http://www.lessar.com/ventilation/ruvent_solutions/aksessuary-ru-vent/accessories_for_chanal_fans/kanalnye-nagrevateli/lv-hdce-ru-all/</t>
  </si>
  <si>
    <t>http://www.lessar.com/ventilation/ruvent_solutions/aksessuary-ru-vent/accessories_for_chanal_fans/kanalnye-nagrevateli/lv-hdte-d-ru-all/</t>
  </si>
  <si>
    <t>Фильтр-кассета LV-KDCS 100-3 E16</t>
  </si>
  <si>
    <t>Фильтр-кассета LV-KDCK 100/4 E15</t>
  </si>
  <si>
    <t>Фильтр-кассета LV-KDCK 100/5 E15</t>
  </si>
  <si>
    <t>Фильтр-кассета LV-KDCS 125-3 E16</t>
  </si>
  <si>
    <t>Фильтр-кассета LV-KDCK 125/4 E15</t>
  </si>
  <si>
    <t>Фильтр-кассета LV-KDCK 125/5 E15</t>
  </si>
  <si>
    <t>Фильтр-кассета LV-KDCS 160-3 E16</t>
  </si>
  <si>
    <t>Фильтр-кассета LV-KDCK 160/4 E15</t>
  </si>
  <si>
    <t>Фильтр-кассета LV-KDCK 160/5 E15</t>
  </si>
  <si>
    <t>Фильтр-кассета LV-KDCS 200-3 E16</t>
  </si>
  <si>
    <t>Фильтр-кассета LV-KDCK 200/4 E15</t>
  </si>
  <si>
    <t>Фильтр-кассета LV-KDCK 200/5 E15</t>
  </si>
  <si>
    <t>Фильтр-кассета LV-KDCS 250-3 E16</t>
  </si>
  <si>
    <t>Фильтр-кассета LV-KDCK 250/4 E15</t>
  </si>
  <si>
    <t>Фильтр-кассета LV-KDCK 250/5 E15</t>
  </si>
  <si>
    <t>Фильтр-кассета LV-KDCS 315-3 E16</t>
  </si>
  <si>
    <t>Фильтр-кассета LV-KDCK 315/4 E15</t>
  </si>
  <si>
    <t>Фильтр-кассета LV-KDCK 315/5 E15</t>
  </si>
  <si>
    <t>Фильтр-кассета LV-KDTK 400x200-4 E16</t>
  </si>
  <si>
    <t>Фильтр-кассета LV-KDTK 400x200-5 E16</t>
  </si>
  <si>
    <t>Фильтр-кассета LV-KDTK 500x250-4 E16</t>
  </si>
  <si>
    <t>Фильтр-кассета LV-KDTK 500x250-5 E16</t>
  </si>
  <si>
    <t>Фильтр-кассета LV-KDTK 500x300-4 E16</t>
  </si>
  <si>
    <t>Фильтр-кассета LV-KDTK 500x300-5 E16</t>
  </si>
  <si>
    <t>Фильтр-кассета LV-KDTK 600x300-4 E16</t>
  </si>
  <si>
    <t>Фильтр-кассета LV-KDTK 600x300-5 E16</t>
  </si>
  <si>
    <t>Фильтр-кассета LV-KDTK 600x350-4 E16</t>
  </si>
  <si>
    <t>Фильтр-кассета LV-KDTK 600x350-5 E16</t>
  </si>
  <si>
    <t>Фильтр-кассета LV-KDTK 700x400-4 E16</t>
  </si>
  <si>
    <t>Фильтр-кассета LV-KDTK 700x400-5 E16</t>
  </si>
  <si>
    <t>Фильтр-кассета LV-KDTK 800x500-4 E16</t>
  </si>
  <si>
    <t>Фильтр-кассета LV-KDTK 800x500-5 E16</t>
  </si>
  <si>
    <t>Фильтр-кассета LV-KDTK 900x500-4 E16</t>
  </si>
  <si>
    <t>Фильтр-кассета LV-KDTK 900x500-5 E16</t>
  </si>
  <si>
    <t>Фильтр-кассета LV-KDTK 1000x500-4 E16</t>
  </si>
  <si>
    <t>Фильтр-кассета LV-KDTK 1000x500-5 E16</t>
  </si>
  <si>
    <t>http://www.lessar.com/ventilation/ruvent_solutions/aksessuary-ru-vent/accessories_for_chanal_fans/kanalnie-filtry/lv-kdcs-ru-all/</t>
  </si>
  <si>
    <t>http://www.lessar.com/ventilation/aksessuary/aksessuary_dlya_kanalnoy_ventilyatsii/filters/lv-kdck-all/</t>
  </si>
  <si>
    <t>Фильтр-кассета LV-KDCK 100/7 E15</t>
  </si>
  <si>
    <t>Фильтр-кассета LV-KDCK 125/7 E15</t>
  </si>
  <si>
    <t>Фильтр-кассета LV-KDCK 160/7 E15</t>
  </si>
  <si>
    <t>Фильтр-кассета LV-KDCK 200/7 E15</t>
  </si>
  <si>
    <t>Фильтр-кассета LV-KDCK 250/7 E15</t>
  </si>
  <si>
    <t>Фильтр-кассета LV-KDCK 315/7 E15</t>
  </si>
  <si>
    <t>Фильтр-кассета LV-KDCK 355/4 E15</t>
  </si>
  <si>
    <t>Фильтр-кассета LV-KDCK 355/5 E15</t>
  </si>
  <si>
    <t>Фильтр-кассета LV-KDCK 355/7 E15</t>
  </si>
  <si>
    <t>Фильтр-кассета LV-KDCK 400/4 E15</t>
  </si>
  <si>
    <t>Фильтр-кассета LV-KDCK 400/5 E15</t>
  </si>
  <si>
    <t>Фильтр-кассета LV-KDCK 400/7 E15</t>
  </si>
  <si>
    <t>Фильтр-кассета LV-KDCK 500/4 E15</t>
  </si>
  <si>
    <t>Фильтр-кассета LV-KDCK 500/5 E15</t>
  </si>
  <si>
    <t>Фильтр-кассета LV-KDCK 500/7 E15</t>
  </si>
  <si>
    <t>Фильтр-кассета LV-KDCK 630/4 E15</t>
  </si>
  <si>
    <t>Фильтр-кассета LV-KDCK 630/5 E15</t>
  </si>
  <si>
    <t>Фильтр-кассета LV-KDCK 630/7 E15</t>
  </si>
  <si>
    <t>http://www.lessar.com/ventilation/ruvent_solutions/aksessuary-ru-vent/accessories_for_chanal_fans/kanalnie-filtry/lv-kdtk-ru-all/</t>
  </si>
  <si>
    <t>Фильтр-кассета LV-KDTK 400x200-7 E16</t>
  </si>
  <si>
    <t>Фильтр-кассета LV-KDTK 400x200-9 E16</t>
  </si>
  <si>
    <t>Фильтр-кассета LV-KDTK 500x250-7 E16</t>
  </si>
  <si>
    <t>Фильтр-кассета LV-KDTK 500x250-9 E16</t>
  </si>
  <si>
    <t>Фильтр-кассета LV-KDTK 500x300-7 E16</t>
  </si>
  <si>
    <t>Фильтр-кассета LV-KDTK 500x300-9 E16</t>
  </si>
  <si>
    <t>Фильтр-кассета LV-KDTK 600x300-7 E16</t>
  </si>
  <si>
    <t>Фильтр-кассета LV-KDTK 600x300-9 E16</t>
  </si>
  <si>
    <t>Фильтр-кассета LV-KDTK 600x350-7 E16</t>
  </si>
  <si>
    <t>Фильтр-кассета LV-KDTK 600x350-9 E16</t>
  </si>
  <si>
    <t>Фильтр-кассета LV-KDTK 700x400-7 E16</t>
  </si>
  <si>
    <t>Фильтр-кассета LV-KDTK 700x400-9 E16</t>
  </si>
  <si>
    <t>Фильтр-кассета LV-KDTK 800x500-7 E16</t>
  </si>
  <si>
    <t>Фильтр-кассета LV-KDTK 800x500-9 E16</t>
  </si>
  <si>
    <t>Фильтр-кассета LV-KDTK 900x500-7 E16</t>
  </si>
  <si>
    <t>Фильтр-кассета LV-KDTK 900x500-9 E16</t>
  </si>
  <si>
    <t>Фильтр-кассета LV-KDTK 1000x500-7 E16</t>
  </si>
  <si>
    <t>Фильтр-кассета LV-KDTK 1000x500-9 E16</t>
  </si>
  <si>
    <t>Хомут быстросъемный LV-MDC 100 E15</t>
  </si>
  <si>
    <t>Хомут быстросъемный LV-MDC 125 E15</t>
  </si>
  <si>
    <t>Хомут быстросъемный LV-MDC 160 E15</t>
  </si>
  <si>
    <t>Хомут быстросъемный LV-MDC 200 E15</t>
  </si>
  <si>
    <t>Хомут быстросъемный LV-MDC 250 E15</t>
  </si>
  <si>
    <t>Хомут быстросъемный LV-MDC 315 E15</t>
  </si>
  <si>
    <t>Хомут быстросъемный LV-MDC 355 E15</t>
  </si>
  <si>
    <t>Хомут быстросъемный LV-MDC 400 E15</t>
  </si>
  <si>
    <t>Хомут быстросъемный LV-MDC 450 E15</t>
  </si>
  <si>
    <t>Хомут быстросъемный LV-MDC 500 E15</t>
  </si>
  <si>
    <t>Хомут быстросъемный LV-MDC 560 E15</t>
  </si>
  <si>
    <t>Хомут быстросъемный LV-MDC 630 E15</t>
  </si>
  <si>
    <t>Хомут быстросъемный LV-MDC 710 E15</t>
  </si>
  <si>
    <t>Хомут быстросъемный LV-MDC 800 E15</t>
  </si>
  <si>
    <t>http://www.lessar.com/ventilation/aksessuary/aksessuary_dlya_kanalnoy_ventilyatsii/for_mont_vent/lv-mdc-all/</t>
  </si>
  <si>
    <t>Гибкая вставка LV-WDTA 400x200 E16</t>
  </si>
  <si>
    <t>Гибкая вставка LV-WDTA 500x250 E16</t>
  </si>
  <si>
    <t>Гибкая вставка LV-WDTA 500x300 E16</t>
  </si>
  <si>
    <t>Гибкая вставка LV-WDTA 600x300 E16</t>
  </si>
  <si>
    <t>Гибкая вставка LV-WDTA 600x350 E16</t>
  </si>
  <si>
    <t>Гибкая вставка LV-WDTA 700x400 E16</t>
  </si>
  <si>
    <t>Гибкая вставка LV-WDTA 800x500 E16</t>
  </si>
  <si>
    <t>Гибкая вставка LV-WDTA 900x500 E16</t>
  </si>
  <si>
    <t>Гибкая вставка LV-WDTA 1000x500 E16</t>
  </si>
  <si>
    <t>http://www.lessar.com/ventilation/ruvent_solutions/aksessuary-ru-vent/accessories_for_chanal_fans/elementy-dlya-montazha-ventilatorov/lv-wdta-ru-all/</t>
  </si>
  <si>
    <t>Адаптер-переход LV-GDT 400x200/200 E15</t>
  </si>
  <si>
    <t>Адаптер-переход LV-GDT 500x250/250 E15</t>
  </si>
  <si>
    <t>Адаптер-переход LV-GDT 500x300/315 E15</t>
  </si>
  <si>
    <t>Адаптер-переход LV-GDT 600x300/315 E15</t>
  </si>
  <si>
    <t>Адаптер-переход LV-GDT 600x350/355 E15</t>
  </si>
  <si>
    <t>Адаптер-переход LV-GDT 700x400/400 E15</t>
  </si>
  <si>
    <t>Адаптер-переход LV-GDT 800x500/500 E15</t>
  </si>
  <si>
    <t>Адаптер-переход LV-GDT 1000x500/500 E15</t>
  </si>
  <si>
    <t>http://www.lessar.com/ventilation/aksessuary/aksessuary_dlya_kanalnoy_ventilyatsii/for_mont_vent/lv-gdt-all/</t>
  </si>
  <si>
    <t>Гибкая вставка LV-WDQA 250 E16 (вход воздуха)</t>
  </si>
  <si>
    <t>Гибкая вставка LV-WDQA 280 E16 (вход воздуха)</t>
  </si>
  <si>
    <t>Гибкая вставка LV-WDQA 310 E16 (вход воздуха)</t>
  </si>
  <si>
    <t>Гибкая вставка LV-WDQA 350 E16 (вход воздуха)</t>
  </si>
  <si>
    <t>Гибкая вставка LV-WDQA 400 E16 (вход воздуха)</t>
  </si>
  <si>
    <t>Гибкая вставка LV-WDQA 450 E16 (вход воздуха)</t>
  </si>
  <si>
    <t>Гибкая вставка LV-WDQA 500 E16 (вход воздуха)</t>
  </si>
  <si>
    <t>Гибкая вставка LV-WDQA 560 E16 (вход воздуха)</t>
  </si>
  <si>
    <t>Гибкая вставка LV-WDQA 630 E16 (вход воздуха)</t>
  </si>
  <si>
    <t>Гибкая вставка LV-WDQA 710 E16 (вход воздуха)</t>
  </si>
  <si>
    <t>Гибкая вставка LV-WDQB 250 E16 (выход воздуха)</t>
  </si>
  <si>
    <t>Гибкая вставка LV-WDQB 280 E16 (выход воздуха)</t>
  </si>
  <si>
    <t>Гибкая вставка LV-WDQB 310 E16 (выход воздуха)</t>
  </si>
  <si>
    <t>Гибкая вставка LV-WDQB 350 E16 (выход воздуха)</t>
  </si>
  <si>
    <t>Гибкая вставка LV-WDQB 400 E16 (выход воздуха)</t>
  </si>
  <si>
    <t>Гибкая вставка LV-WDQB 450 E16 (выход воздуха)</t>
  </si>
  <si>
    <t>Гибкая вставка LV-WDQB 500 E16 (выход воздуха)</t>
  </si>
  <si>
    <t>Гибкая вставка LV-WDQB 560 E16 (выход воздуха)</t>
  </si>
  <si>
    <t>Гибкая вставка LV-WDQB 630 E16 (выход воздуха)</t>
  </si>
  <si>
    <t>Гибкая вставка LV-WDQB 710 E16 (выход воздуха)</t>
  </si>
  <si>
    <t>http://www.lessar.com/ventilation/ruvent_solutions/aksessuary-ru-vent/aksessuary-dlya-kuhonnikov/lv-wdqa-ru-all/</t>
  </si>
  <si>
    <t>http://www.lessar.com/ventilation/ruvent_solutions/aksessuary-ru-vent/aksessuary-dlya-kuhonnikov/lv-wdqb-ru-all/</t>
  </si>
  <si>
    <t>Вставка гибкая LV-WDCA 160 E15 (LV-FRCH 175-190 E15)</t>
  </si>
  <si>
    <t>Вставка гибкая LV-WDCA 250 E15 (LV-FRCV 250, -FRCH 220-250 E15)</t>
  </si>
  <si>
    <t>Вставка гибкая LV-WDCA 311 E15 (LV-FRCV 311 E15)</t>
  </si>
  <si>
    <t>Вставка гибкая LV-WDCA 355-500 E15 (LV-FRCV 355-500 E15)</t>
  </si>
  <si>
    <t>Вставка гибкая LV-WDCA 560-630 E15 (LV-FRCV 560-630 E15)</t>
  </si>
  <si>
    <t>Вставка гибкая LV-WDCA 710 E15 (LV-FRCV 710 E15)</t>
  </si>
  <si>
    <t>http://www.lessar.com/ventilation/aksessuary/aksessuary_dlya_kryshnoy_ventilyatsii/lv-wdca-all/</t>
  </si>
  <si>
    <t>Адаптер-переход LV-GDC 160 E15 (LV-FRCH 175-190 E15)</t>
  </si>
  <si>
    <t>Адаптер-переход LV-GDC 250 E15 (LV-FRCH 250, -FRCH 220-250 E15)</t>
  </si>
  <si>
    <t>Адаптер-переход LV-GDC 311 E15 (LV-FRCV 311 E15)</t>
  </si>
  <si>
    <t>Адаптер-переход LV-GDC 355-500 E15 (LV-FRCV 355-500 E15)</t>
  </si>
  <si>
    <t>Адаптер-переход LV-GDC 560-630 E15 (LV-FRCV 560-630 E15)</t>
  </si>
  <si>
    <t>Адаптер-переход LV-GDC 710 E15 (LV-FRCV 710 E15)</t>
  </si>
  <si>
    <t>http://www.lessar.com/ventilation/aksessuary/aksessuary_dlya_kryshnoy_ventilyatsii/lv-gdc-all/</t>
  </si>
  <si>
    <t>Короб крышный LV-ZRQA 300/6 E15 (LV-FRCH 175-190 E15, 600мм)</t>
  </si>
  <si>
    <t>Короб крышный LV-ZRQA 300/8 E15 (LV-FRCH 175-190 E15, 800мм)</t>
  </si>
  <si>
    <t>Короб крышный LV-ZRQA 300/9 E15 (LV-FRCH 175-190 E15, 900мм)</t>
  </si>
  <si>
    <t>Короб крышный LV-ZRQA 400/6 E15 (LV-FRCH 220-225 E15, 600мм)</t>
  </si>
  <si>
    <t>Короб крышный LV-ZRQA 400/8 E15 (LV-FRCH 220-225 E15, 800мм)</t>
  </si>
  <si>
    <t>Короб крышный LV-ZRQA 400/9 E15 (LV-FRCH 220-225 E15, 900мм)</t>
  </si>
  <si>
    <t>Короб крышный LV-ZRQA 400/10 E15 (LV-FRCH 220-225 E15, 1000мм)</t>
  </si>
  <si>
    <t>Панель монтажная LV-QTA 300 E15 (для плоской кровли)</t>
  </si>
  <si>
    <t>Панель монтажная LV-QTA45 300 E15 (для покатой кровли)</t>
  </si>
  <si>
    <t>Панель монтажная LV-QTA 400 E15 (для плоской кровли)</t>
  </si>
  <si>
    <t>Панель монтажная LV-QTA45 400 E15 (для покатой кровли)</t>
  </si>
  <si>
    <t>http://www.lessar.com/ventilation/aksessuary/aksessuary_dlya_kryshnoy_ventilyatsii/lv-zrqa-all/</t>
  </si>
  <si>
    <t>http://www.lessar.com/ventilation/aksessuary/aksessuary_dlya_kryshnoy_ventilyatsii/lv-qta-all/</t>
  </si>
  <si>
    <t>Крышный короб LV-ZRQB 250 E15</t>
  </si>
  <si>
    <t>Крышный короб LV-ZRQI 250 E15 (с шумоглушашим слоем)</t>
  </si>
  <si>
    <t>Крышный короб LV-ZRQB 311 E15</t>
  </si>
  <si>
    <t>Крышный короб LV-ZRQI 311 E15 (с шумоглушашим слоем)</t>
  </si>
  <si>
    <t>Крышный короб LV-ZRQB 355-400 E15</t>
  </si>
  <si>
    <t>Крышный короб LV-ZRQI 355-400 E15 (с шумоглушашим слоем)</t>
  </si>
  <si>
    <t>Крышный короб LV-ZRQB 450-500 E15</t>
  </si>
  <si>
    <t>Крышный короб LV-ZRQI 450-500 E15 (с шумоглушашим слоем)</t>
  </si>
  <si>
    <t>Крышный короб LV-ZRQB 560-630 E15</t>
  </si>
  <si>
    <t>Крышный короб LV-ZRQI 560-630 E15 (с шумоглушашим слоем)</t>
  </si>
  <si>
    <t>Крышный короб LV-ZRQB 710 E15</t>
  </si>
  <si>
    <t>Крышный короб LV-ZRQI 710 E15 (с шумоглушашим слоем)</t>
  </si>
  <si>
    <t>http://www.lessar.com/ventilation/aksessuary/aksessuary_dlya_kryshnoy_ventilyatsii/lv-zrqb-all/</t>
  </si>
  <si>
    <t>http://www.lessar.com/ventilation/aksessuary/aksessuary_dlya_kryshnoy_ventilyatsii/lv-zrqi-all/</t>
  </si>
  <si>
    <t>Крышный короб LV-ZRQ 400-2 E16</t>
  </si>
  <si>
    <t>Крышный короб LV-ZRQ 400-T-2 E16 (обратный клапан)</t>
  </si>
  <si>
    <t>Крышный короб LV-ZRQ 400-M-2 E16 (клапан под привод)</t>
  </si>
  <si>
    <t>Крышный короб LV-ZRQS 400-2 E16 (шумоглушитель)</t>
  </si>
  <si>
    <t>Крышный короб LV-ZRQS 400-T-2 E16 (шумоглуш, обратный кл.)</t>
  </si>
  <si>
    <t>Крышный короб LV-ZRQS 400-M-2 E16 (шумоглуш, кл. под привод)</t>
  </si>
  <si>
    <t>Крышный короб LV-ZRQ 400-4 E16</t>
  </si>
  <si>
    <t>Крышный короб LV-ZRQ 400-T-4 E16 (обратный клапан)</t>
  </si>
  <si>
    <t>Крышный короб LV-ZRQ 400-M-4 E16 (клапан под привод)</t>
  </si>
  <si>
    <t>Крышный короб LV-ZRQS 400-4 E16 (шумоглушитель)</t>
  </si>
  <si>
    <t>Крышный короб LV-ZRQS 400-T-4 E16 (шумоглуш, обратный кл.)</t>
  </si>
  <si>
    <t>Крышный короб LV-ZRQS 400-M-4 E16 (шумоглуш, кл. под привод)</t>
  </si>
  <si>
    <t>Крышный короб LV-ZRQ 600-2 E16</t>
  </si>
  <si>
    <t>Крышный короб LV-ZRQ 600-T-2 E16 (обратный клапан)</t>
  </si>
  <si>
    <t>Крышный короб LV-ZRQ 600-M-2 E16 (клапан под привод)</t>
  </si>
  <si>
    <t>Крышный короб LV-ZRQS 600-2 E16 (шумоглушитель)</t>
  </si>
  <si>
    <t>Крышный короб LV-ZRQS 600-T-2 E16 (шумоглуш, обратный кл.)</t>
  </si>
  <si>
    <t>Крышный короб LV-ZRQS 600-M-2 E16 (шумоглуш, кл. под привод)</t>
  </si>
  <si>
    <t>Крышный короб LV-ZRQ 600-4 E16</t>
  </si>
  <si>
    <t>Крышный короб LV-ZRQ 600-T-4 E16 (обратный клапан)</t>
  </si>
  <si>
    <t>Крышный короб LV-ZRQ 600-M-4 E16 (клапан под привод)</t>
  </si>
  <si>
    <t>Крышный короб LV-ZRQS 600-4 E16 (шумоглушитель)</t>
  </si>
  <si>
    <t>Крышный короб LV-ZRQS 600-T-4 E16 (шумоглуш, обратный кл.)</t>
  </si>
  <si>
    <t>Крышный короб LV-ZRQS 600-M-4 E16 (шумоглуш, кл. под привод)</t>
  </si>
  <si>
    <t>Крышный короб LV-ZRQ 800-2 E16</t>
  </si>
  <si>
    <t>Крышный короб LV-ZRQ 800-T-2 E16 (обратный клапан)</t>
  </si>
  <si>
    <t>Крышный короб LV-ZRQ 800-M-2 E16 (клапан под привод)</t>
  </si>
  <si>
    <t>Крышный короб LV-ZRQS 800-2 E16 (шумоглушитель)</t>
  </si>
  <si>
    <t>Крышный короб LV-ZRQS 800-T-2 E16 (шумоглуш, обратный кл.)</t>
  </si>
  <si>
    <t>Крышный короб LV-ZRQS 800-M-2 E16 (шумоглуш, кл. под привод)</t>
  </si>
  <si>
    <t>Крышный короб LV-ZRQ 800-4 E16</t>
  </si>
  <si>
    <t>Крышный короб LV-ZRQ 800-T-4 E16 (обратный клапан)</t>
  </si>
  <si>
    <t>Крышный короб LV-ZRQ 800-M-4 E16 (клапан под привод)</t>
  </si>
  <si>
    <t>Крышный короб LV-ZRQS 800-4 E16 (шумоглушитель)</t>
  </si>
  <si>
    <t>Крышный короб LV-ZRQS 800-T-4 E16 (шумоглуш, обратный кл.)</t>
  </si>
  <si>
    <t>Крышный короб LV-ZRQS 800-M-4 E16 (шумоглуш, кл. под привод)</t>
  </si>
  <si>
    <t>Крышный короб LV-ZRQ 1000-2 E16</t>
  </si>
  <si>
    <t>Крышный короб LV-ZRQ 1000-T-2 E16 (обратный клапан)</t>
  </si>
  <si>
    <t>Крышный короб LV-ZRQ 1000-M-2 E16 (клапан под привод)</t>
  </si>
  <si>
    <t>Крышный короб LV-ZRQS 1000-2 E16 (шумоглушитель)</t>
  </si>
  <si>
    <t>Крышный короб LV-ZRQS 1000-T-2 E16 (шумоглуш, обратный кл.)</t>
  </si>
  <si>
    <t>Крышный короб LV-ZRQS 1000-M-2 E16 (шумоглуш, кл. под привод)</t>
  </si>
  <si>
    <t>Крышный короб LV-ZRQ 1000-4 E16</t>
  </si>
  <si>
    <t>Крышный короб LV-ZRQ 1000-T-4 E16 (обратный клапан)</t>
  </si>
  <si>
    <t>Крышный короб LV-ZRQ 1000-M-4 E16 (клапан под привод)</t>
  </si>
  <si>
    <t>Крышный короб LV-ZRQS 1000-4 E16 (шумоглушитель)</t>
  </si>
  <si>
    <t>Крышный короб LV-ZRQS 1000-T-4 E16 (шумоглуш, обратный кл.)</t>
  </si>
  <si>
    <t>Крышный короб LV-ZRQS 1000-M-4 E16 (шумоглуш, кл. под привод)</t>
  </si>
  <si>
    <t>Крышный короб LV-ZRQ 1140-2 E16</t>
  </si>
  <si>
    <t>Крышный короб LV-ZRQ 1140-T-2 E16 (обратный клапан)</t>
  </si>
  <si>
    <t>Крышный короб LV-ZRQ 1140-M-2 E16 (клапан под привод)</t>
  </si>
  <si>
    <t>Крышный короб LV-ZRQS 1140-2 E16 (шумоглушитель)</t>
  </si>
  <si>
    <t>Крышный короб LV-ZRQS 1140-T-2 E16 (шумоглуш, обратный кл.)</t>
  </si>
  <si>
    <t>Крышный короб LV-ZRQS 1140-M-2 E16 (шумоглуш, кл. под привод)</t>
  </si>
  <si>
    <t>Крышный короб LV-ZRQ 1140-4 E16</t>
  </si>
  <si>
    <t>Крышный короб LV-ZRQ 1140-T-4 E16 (обратный клапан)</t>
  </si>
  <si>
    <t>Крышный короб LV-ZRQ 1140-M-4 E16 (клапан под привод)</t>
  </si>
  <si>
    <t>Крышный короб LV-ZRQS 1140-4 E16 (шумоглушитель)</t>
  </si>
  <si>
    <t>Крышный короб LV-ZRQS 1140-T-4 E16 (шумоглуш, обратный кл.)</t>
  </si>
  <si>
    <t>Крышный короб LV-ZRQS 1140-M-4 E16 (шумоглуш, кл. под привод)</t>
  </si>
  <si>
    <t>http://www.lessar.com/ventilation/ruvent_solutions/aksessuary-ru-vent/aksessuary-dlya-kryshnikov/lv_zrq_ru/lv_zrq_4_ru/lv-zrq-400-4-ru/</t>
  </si>
  <si>
    <t>http://www.lessar.com/ventilation/ruvent_solutions/aksessuary-ru-vent/aksessuary-dlya-kryshnikov/lv_zrq_ru/lv_zrq_4_ru/lv-zrq-600-4-ru/</t>
  </si>
  <si>
    <t>http://www.lessar.com/ventilation/ruvent_solutions/aksessuary-ru-vent/aksessuary-dlya-kryshnikov/lv_zrq_ru/lv_zrq_4_ru/lv-zrq-800-4-ru/</t>
  </si>
  <si>
    <t>http://www.lessar.com/ventilation/ruvent_solutions/aksessuary-ru-vent/aksessuary-dlya-kryshnikov/lv_zrq_ru/lv_zrq_4_ru/lv-zrq-1000-4-ru/</t>
  </si>
  <si>
    <t>http://www.lessar.com/ventilation/ruvent_solutions/aksessuary-ru-vent/aksessuary-dlya-kryshnikov/lv_zrq_ru/lv_zrq_4_ru/lv-zrq-1140-4-ru/</t>
  </si>
  <si>
    <t>http://www.lessar.com/ventilation/ruvent_solutions/aksessuary-ru-vent/aksessuary-dlya-kryshnikov/lv_zrq_ru/lv_zrq_4_ru/lv-zrq-400-t-4-ru/</t>
  </si>
  <si>
    <t>http://www.lessar.com/ventilation/ruvent_solutions/aksessuary-ru-vent/aksessuary-dlya-kryshnikov/lv_zrq_ru/lv_zrq_4_ru/lv-zrq-600-t-4-ru/</t>
  </si>
  <si>
    <t>http://www.lessar.com/ventilation/ruvent_solutions/aksessuary-ru-vent/aksessuary-dlya-kryshnikov/lv_zrq_ru/lv_zrq_4_ru/lv-zrq-600-m-4-ru/</t>
  </si>
  <si>
    <t>http://www.lessar.com/ventilation/ruvent_solutions/aksessuary-ru-vent/aksessuary-dlya-kryshnikov/lv_zrqs_ru/lv_zrqs_4_ru/lv-zrqs-600-t-4-ru/</t>
  </si>
  <si>
    <t>http://www.lessar.com/ventilation/ruvent_solutions/aksessuary-ru-vent/aksessuary-dlya-kryshnikov/lv_zrqs_ru/lv_zrqs_4_ru/lv-zrqs-600-m-4-ru/</t>
  </si>
  <si>
    <t>http://www.lessar.com/ventilation/ruvent_solutions/aksessuary-ru-vent/aksessuary-dlya-kryshnikov/lv_zrq_ru/lv_zrq_4_ru/lv-zrq-800-t-4-ru/</t>
  </si>
  <si>
    <t>http://www.lessar.com/ventilation/ruvent_solutions/aksessuary-ru-vent/aksessuary-dlya-kryshnikov/lv_zrq_ru/lv_zrq_4_ru/lv-zrq-1000-t-4-ru/</t>
  </si>
  <si>
    <t>http://www.lessar.com/ventilation/ruvent_solutions/aksessuary-ru-vent/aksessuary-dlya-kryshnikov/lv_zrq_ru/lv_zrq_4_ru/lv-zrq-1000-m-4-ru/</t>
  </si>
  <si>
    <t>http://www.lessar.com/ventilation/ruvent_solutions/aksessuary-ru-vent/aksessuary-dlya-kryshnikov/lv_zrqs_ru/lv_zrqs_4_ru/lv-zrqs-1000-t-4-ru/</t>
  </si>
  <si>
    <t>http://www.lessar.com/ventilation/ruvent_solutions/aksessuary-ru-vent/aksessuary-dlya-kryshnikov/lv_zrqs_ru/lv_zrqs_4_ru/lv-zrqs-1000-m-4-ru/</t>
  </si>
  <si>
    <t>http://www.lessar.com/ventilation/ruvent_solutions/aksessuary-ru-vent/aksessuary-dlya-kryshnikov/lv_zrq_ru/lv_zrq_4_ru/lv-zrq-1140-t-4-ru/</t>
  </si>
  <si>
    <t>http://www.lessar.com/ventilation/ruvent_solutions/aksessuary-ru-vent/aksessuary-dlya-kryshnikov/lv_zrq_ru/lv_zrq_4_ru/lv-zrq-1140-m-4-ru/</t>
  </si>
  <si>
    <t>http://www.lessar.com/ventilation/ruvent_solutions/aksessuary-ru-vent/aksessuary-dlya-kryshnikov/lv_zrqs_ru/lv_zrqs_4_ru/lv-zrqs-1140-t-4-ru/</t>
  </si>
  <si>
    <t>http://www.lessar.com/ventilation/ruvent_solutions/aksessuary-ru-vent/aksessuary-dlya-kryshnikov/lv_zrqs_ru/lv_zrqs_4_ru/lv-zrqs-1140-m-4-ru/</t>
  </si>
  <si>
    <t>http://www.lessar.com/ventilation/ruvent_solutions/aksessuary-ru-vent/aksessuary-dlya-kryshnikov/lv_zrq_ru/lv_zrq_4_ru/lv-zrq-400-m-4-ru/</t>
  </si>
  <si>
    <t>http://www.lessar.com/ventilation/ruvent_solutions/aksessuary-ru-vent/aksessuary-dlya-kryshnikov/lv_zrq_ru/lv_zrq_4_ru/lv-zrq-800-m-4-ru/</t>
  </si>
  <si>
    <t>http://www.lessar.com/ventilation/ruvent_solutions/aksessuary-ru-vent/aksessuary-dlya-kryshnikov/lv_zrqs_ru/lv_zrqs_4_ru/lv-zrqs-800-t-4-ru/</t>
  </si>
  <si>
    <t>http://www.lessar.com/ventilation/ruvent_solutions/aksessuary-ru-vent/aksessuary-dlya-kryshnikov/lv_zrqs_ru/lv_zrqs_4_ru/lv-zrqs-800-m-4-ru/</t>
  </si>
  <si>
    <t>http://www.lessar.com/ventilation/ruvent_solutions/aksessuary-ru-vent/aksessuary-dlya-kryshnikov/lv_zrqs_ru/lv_zrqs_4_ru/lv-zrqs-400-4-ru/</t>
  </si>
  <si>
    <t>http://www.lessar.com/ventilation/ruvent_solutions/aksessuary-ru-vent/aksessuary-dlya-kryshnikov/lv_zrqs_ru/lv_zrqs_4_ru/lv-zrqs-400-t-4-ru/</t>
  </si>
  <si>
    <t>http://www.lessar.com/ventilation/ruvent_solutions/aksessuary-ru-vent/aksessuary-dlya-kryshnikov/lv_zrqs_ru/lv_zrqs_4_ru/lv-zrqs-400-m-4-ru/</t>
  </si>
  <si>
    <t>http://www.lessar.com/ventilation/ruvent_solutions/aksessuary-ru-vent/aksessuary-dlya-kryshnikov/lv_zrqs_ru/lv_zrqs_4_ru/lv-zrqs-600-4-ru/</t>
  </si>
  <si>
    <t>http://www.lessar.com/ventilation/ruvent_solutions/aksessuary-ru-vent/aksessuary-dlya-kryshnikov/lv_zrqs_ru/lv_zrqs_4_ru/lv-zrqs-800-4-ru/</t>
  </si>
  <si>
    <t>http://www.lessar.com/ventilation/ruvent_solutions/aksessuary-ru-vent/aksessuary-dlya-kryshnikov/lv_zrqs_ru/lv_zrqs_4_ru/lv-zrqs-1000-4-ru/</t>
  </si>
  <si>
    <t>http://www.lessar.com/ventilation/ruvent_solutions/aksessuary-ru-vent/aksessuary-dlya-kryshnikov/lv_zrqs_ru/lv_zrqs_4_ru/lv-zrqs-1140-4-ru/</t>
  </si>
  <si>
    <t>http://www.lessar.com/ventilation/ruvent_solutions/aksessuary-ru-vent/aksessuary-dlya-kryshnikov/lv_zrqs_ru/lv_zrqs_2_ru/lv-zrqs-1140-m-2-ru/</t>
  </si>
  <si>
    <t>http://www.lessar.com/ventilation/ruvent_solutions/aksessuary-ru-vent/aksessuary-dlya-kryshnikov/lv_zrqs_ru/lv_zrqs_2_ru/lv-zrqs-1140-t-2-ru/</t>
  </si>
  <si>
    <t>http://www.lessar.com/ventilation/ruvent_solutions/aksessuary-ru-vent/aksessuary-dlya-kryshnikov/lv_zrqs_ru/lv_zrqs_2_ru/lv-zrqs-1140-2-ru/</t>
  </si>
  <si>
    <t>http://www.lessar.com/ventilation/ruvent_solutions/aksessuary-ru-vent/aksessuary-dlya-kryshnikov/lv_zrq_ru/lv_zrq_2_ru/lv-zrq-1140-2-ru/</t>
  </si>
  <si>
    <t>http://www.lessar.com/ventilation/ruvent_solutions/aksessuary-ru-vent/aksessuary-dlya-kryshnikov/lv_zrq_ru/lv_zrq_2_ru/lv-zrq-1140-t-2-ru/</t>
  </si>
  <si>
    <t>http://www.lessar.com/ventilation/ruvent_solutions/aksessuary-ru-vent/aksessuary-dlya-kryshnikov/lv_zrq_ru/lv_zrq_2_ru/lv-zrq-1140-m-2-ru/</t>
  </si>
  <si>
    <t>http://www.lessar.com/ventilation/ruvent_solutions/aksessuary-ru-vent/aksessuary-dlya-kryshnikov/lv_zrq_ru/lv_zrq_2_ru/lv-zrq-1000-2-ru/</t>
  </si>
  <si>
    <t>http://www.lessar.com/ventilation/ruvent_solutions/aksessuary-ru-vent/aksessuary-dlya-kryshnikov/lv_zrq_ru/lv_zrq_2_ru/lv-zrq-1000-t-2-ru/</t>
  </si>
  <si>
    <t>http://www.lessar.com/ventilation/ruvent_solutions/aksessuary-ru-vent/aksessuary-dlya-kryshnikov/lv_zrq_ru/lv_zrq_2_ru/lv-zrq-1000-m-2-ru/</t>
  </si>
  <si>
    <t>http://www.lessar.com/ventilation/ruvent_solutions/aksessuary-ru-vent/aksessuary-dlya-kryshnikov/lv_zrqs_ru/lv_zrqs_2_ru/lv-zrqs-1000-2-ru/</t>
  </si>
  <si>
    <t>http://www.lessar.com/ventilation/ruvent_solutions/aksessuary-ru-vent/aksessuary-dlya-kryshnikov/lv_zrqs_ru/lv_zrqs_2_ru/lv-zrqs-1000-t-2-ru/</t>
  </si>
  <si>
    <t>http://www.lessar.com/ventilation/ruvent_solutions/aksessuary-ru-vent/aksessuary-dlya-kryshnikov/lv_zrqs_ru/lv_zrqs_2_ru/lv-zrqs-1000-m-2-ru/</t>
  </si>
  <si>
    <t>http://www.lessar.com/ventilation/ruvent_solutions/aksessuary-ru-vent/aksessuary-dlya-kryshnikov/lv_zrq_ru/lv_zrq_2_ru/lv-zrq-800-2-ru/</t>
  </si>
  <si>
    <t>http://www.lessar.com/ventilation/ruvent_solutions/aksessuary-ru-vent/aksessuary-dlya-kryshnikov/lv_zrq_ru/lv_zrq_2_ru/lv-zrq-800-t-2-ru/</t>
  </si>
  <si>
    <t>http://www.lessar.com/ventilation/ruvent_solutions/aksessuary-ru-vent/aksessuary-dlya-kryshnikov/lv_zrq_ru/lv_zrq_2_ru/lv-zrq-800-m-2-ru/</t>
  </si>
  <si>
    <t>http://www.lessar.com/ventilation/ruvent_solutions/aksessuary-ru-vent/aksessuary-dlya-kryshnikov/lv_zrqs_ru/lv_zrqs_2_ru/lv-zrqs-800-2-ru/</t>
  </si>
  <si>
    <t>http://www.lessar.com/ventilation/ruvent_solutions/aksessuary-ru-vent/aksessuary-dlya-kryshnikov/lv_zrqs_ru/lv_zrqs_2_ru/lv-zrqs-800-t-2-ru/</t>
  </si>
  <si>
    <t>http://www.lessar.com/ventilation/ruvent_solutions/aksessuary-ru-vent/aksessuary-dlya-kryshnikov/lv_zrqs_ru/lv_zrqs_2_ru/lv-zrqs-800-m-2-ru/</t>
  </si>
  <si>
    <t>http://www.lessar.com/ventilation/ruvent_solutions/aksessuary-ru-vent/aksessuary-dlya-kryshnikov/lv_zrq_ru/lv_zrq_2_ru/lv-zrq-600-2-ru/</t>
  </si>
  <si>
    <t>http://www.lessar.com/ventilation/ruvent_solutions/aksessuary-ru-vent/aksessuary-dlya-kryshnikov/lv_zrq_ru/lv_zrq_2_ru/lv-zrq-600-t-2-ru/</t>
  </si>
  <si>
    <t>http://www.lessar.com/ventilation/ruvent_solutions/aksessuary-ru-vent/aksessuary-dlya-kryshnikov/lv_zrq_ru/lv_zrq_2_ru/lv-zrq-600-m-2-ru/</t>
  </si>
  <si>
    <t>http://www.lessar.com/ventilation/ruvent_solutions/aksessuary-ru-vent/aksessuary-dlya-kryshnikov/lv_zrqs_ru/lv_zrqs_2_ru/lv-zrqs-600-2-ru/</t>
  </si>
  <si>
    <t>http://www.lessar.com/ventilation/ruvent_solutions/aksessuary-ru-vent/aksessuary-dlya-kryshnikov/lv_zrqs_ru/lv_zrqs_2_ru/lv-zrqs-600-t-2-ru/</t>
  </si>
  <si>
    <t>http://www.lessar.com/ventilation/ruvent_solutions/aksessuary-ru-vent/aksessuary-dlya-kryshnikov/lv_zrqs_ru/lv_zrqs_2_ru/lv-zrqs-600-m-2-ru/</t>
  </si>
  <si>
    <t>http://www.lessar.com/ventilation/ruvent_solutions/aksessuary-ru-vent/aksessuary-dlya-kryshnikov/lv_zrq_ru/lv_zrq_2_ru/lv-zrq-400-2-ru/</t>
  </si>
  <si>
    <t>http://www.lessar.com/ventilation/ruvent_solutions/aksessuary-ru-vent/aksessuary-dlya-kryshnikov/lv_zrq_ru/lv_zrq_2_ru/lv-zrq-400-t-2-ru/</t>
  </si>
  <si>
    <t>http://www.lessar.com/ventilation/ruvent_solutions/aksessuary-ru-vent/aksessuary-dlya-kryshnikov/lv_zrq_ru/lv_zrq_2_ru/lv-zrq-400-m-2-ru/</t>
  </si>
  <si>
    <t>http://www.lessar.com/ventilation/ruvent_solutions/aksessuary-ru-vent/aksessuary-dlya-kryshnikov/lv_zrqs_ru/lv_zrqs_2_ru/lv-zrqs-400-2-ru/</t>
  </si>
  <si>
    <t>http://www.lessar.com/ventilation/ruvent_solutions/aksessuary-ru-vent/aksessuary-dlya-kryshnikov/lv_zrqs_ru/lv_zrqs_2_ru/lv-zrqs-400-t-2-ru/</t>
  </si>
  <si>
    <t>http://www.lessar.com/ventilation/ruvent_solutions/aksessuary-ru-vent/aksessuary-dlya-kryshnikov/lv_zrqs_ru/lv_zrqs_2_ru/lv-zrqs-400-m-2-ru/</t>
  </si>
  <si>
    <t>Вентилятор шумоизолированный LV-FDCS 400L E15</t>
  </si>
  <si>
    <t>Вентилятор шумоизолированный LV-FDCS 400S E15</t>
  </si>
  <si>
    <t>http://www.lessar.com/ventilation/rational_solutions/ventilyatory/lv-fdcs/lv-fdcs-125m/</t>
  </si>
  <si>
    <t>http://www.lessar.com/ventilation/rational_solutions/ventilyatory/lv-fdcs/lv-fdcs-125l/</t>
  </si>
  <si>
    <t>http://www.lessar.com/ventilation/rational_solutions/ventilyatory/lv-fdcs/lv-fdcs-160m/</t>
  </si>
  <si>
    <t>http://www.lessar.com/ventilation/rational_solutions/ventilyatory/lv-fdcs/lv-fdcs-160l/</t>
  </si>
  <si>
    <t>http://www.lessar.com/ventilation/rational_solutions/ventilyatory/lv-fdcs/lv-fdcs-200m/</t>
  </si>
  <si>
    <t>http://www.lessar.com/ventilation/rational_solutions/ventilyatory/lv-fdcs/lv-fdcs-200l/</t>
  </si>
  <si>
    <t>http://www.lessar.com/ventilation/rational_solutions/ventilyatory/lv-fdcs/lv-fdcs-250m/</t>
  </si>
  <si>
    <t>http://www.lessar.com/ventilation/rational_solutions/ventilyatory/lv-fdcs/lv-fdcs-250l/</t>
  </si>
  <si>
    <t>http://www.lessar.com/ventilation/rational_solutions/ventilyatory/lv-fdcs/lv-fdcs-250s/</t>
  </si>
  <si>
    <t>http://www.lessar.com/ventilation/rational_solutions/ventilyatory/lv-fdcs/lv-fdcs-315m/</t>
  </si>
  <si>
    <t>http://www.lessar.com/ventilation/rational_solutions/ventilyatory/lv-fdcs/lv-fdcs-315l/</t>
  </si>
  <si>
    <t>http://www.lessar.com/ventilation/rational_solutions/ventilyatory/lv-fdcs/lv-fdcs-400l/</t>
  </si>
  <si>
    <t>http://www.lessar.com/ventilation/rational_solutions/ventilyatory/lv-fdcs/lv-fdcs-400s/</t>
  </si>
  <si>
    <t>http://www.lessar.com/ventilation/progressive_solutions/ventilyatory_ECO/lv-fdcs-eco/lv-fdcs-125-eco/</t>
  </si>
  <si>
    <t>http://www.lessar.com/ventilation/progressive_solutions/ventilyatory_ECO/lv-fdcs-eco/lv-fdcs-160-eco/</t>
  </si>
  <si>
    <t>http://www.lessar.com/ventilation/progressive_solutions/ventilyatory_ECO/lv-fdcs-eco/lv-fdcs-200-eco/</t>
  </si>
  <si>
    <t>http://www.lessar.com/ventilation/progressive_solutions/ventilyatory_ECO/lv-fdcs-eco/lv-fdcs-250-eco/</t>
  </si>
  <si>
    <t>http://www.lessar.com/ventilation/progressive_solutions/ventilyatory_ECO/lv-fdcs-eco/lv-fdcs-315-eco/</t>
  </si>
  <si>
    <t>Вентилятор прямоугольный канальный LV-FDTС 600x300-M-2-3 E16</t>
  </si>
  <si>
    <t>Вентилятор прямоугольный канальный LV-FDTС 600x350-M-2-3 E16</t>
  </si>
  <si>
    <t>http://www.lessar.com/ventilation/rational_solutions/ventilyatory/lv-fdta/lv-fdta-400x200-4-1/</t>
  </si>
  <si>
    <t>http://www.lessar.com/ventilation/rational_solutions/ventilyatory/lv-fdta/lv-fdta-400x200-4-3/</t>
  </si>
  <si>
    <t>http://www.lessar.com/ventilation/rational_solutions/ventilyatory/lv-fdta/lv-fdta-500x250-4-1/</t>
  </si>
  <si>
    <t>http://www.lessar.com/ventilation/rational_solutions/ventilyatory/lv-fdta/lv-fdta-500x250-4-3/</t>
  </si>
  <si>
    <t>http://www.lessar.com/ventilation/rational_solutions/ventilyatory/lv-fdta/lv-fdta-500x300-6-1/</t>
  </si>
  <si>
    <t>http://www.lessar.com/ventilation/rational_solutions/ventilyatory/lv-fdta/lv-fdta-500x300-4-1/</t>
  </si>
  <si>
    <t>http://www.lessar.com/ventilation/rational_solutions/ventilyatory/lv-fdta/lv-fdta-500x300-4-3/</t>
  </si>
  <si>
    <t>http://www.lessar.com/ventilation/rational_solutions/ventilyatory/lv-fdta/lv-fdta-600x300-6-1/</t>
  </si>
  <si>
    <t>http://www.lessar.com/ventilation/rational_solutions/ventilyatory/lv-fdta/lv-fdta-600x300-6-3/</t>
  </si>
  <si>
    <t>http://www.lessar.com/ventilation/rational_solutions/ventilyatory/lv-fdta/lv-fdta-600x300-4-1/</t>
  </si>
  <si>
    <t>http://www.lessar.com/ventilation/rational_solutions/ventilyatory/lv-fdta/lv-fdta-600x300-4-3/</t>
  </si>
  <si>
    <t>http://www.lessar.com/ventilation/rational_solutions/ventilyatory/lv-fdta/lv-fdta-600x350-6-3/</t>
  </si>
  <si>
    <t>http://www.lessar.com/ventilation/rational_solutions/ventilyatory/lv-fdta/lv-fdta-600x350-4-1/</t>
  </si>
  <si>
    <t>http://www.lessar.com/ventilation/rational_solutions/ventilyatory/lv-fdta/lv-fdta-600x350-4-3/</t>
  </si>
  <si>
    <t>http://www.lessar.com/ventilation/rational_solutions/ventilyatory/lv-fdta/lv-fdta-700x400-6-3/</t>
  </si>
  <si>
    <t>Stouch</t>
  </si>
  <si>
    <t>Flex</t>
  </si>
  <si>
    <t>Ptouch</t>
  </si>
  <si>
    <t>MB-Gateway</t>
  </si>
  <si>
    <t>http://www.lessar.com/ventilation/rational_solutions/ventilyatory/lv-fdta/lv-fdta-700x400-4-3/</t>
  </si>
  <si>
    <t>http://www.lessar.com/ventilation/rational_solutions/ventilyatory/lv-fdta/lv-fdta-800x500-8-3/</t>
  </si>
  <si>
    <t>http://www.lessar.com/ventilation/rational_solutions/ventilyatory/lv-fdta/lv-fdta-800x500-6-3/</t>
  </si>
  <si>
    <t>http://www.lessar.com/ventilation/rational_solutions/ventilyatory/lv-fdta/lv-fdta-800x500-4-3/</t>
  </si>
  <si>
    <t>http://www.lessar.com/ventilation/rational_solutions/ventilyatory/lv-fdta/lv-fdta-1000x500-8-3/</t>
  </si>
  <si>
    <t>http://www.lessar.com/ventilation/rational_solutions/ventilyatory/lv-fdta/lv-fdta-1000x500-6-3/</t>
  </si>
  <si>
    <t>http://www.lessar.com/ventilation/rational_solutions/ventilyatory/lv-fdta/lv-fdta-1000x500-4-3/</t>
  </si>
  <si>
    <t>http://www.lessar.com/ventilation/ruvent_solutions/ventilyatory_ruvent/lv-fdt-a-s-l-ru/lv-fdta-s-500x300-l-2-3-ru/</t>
  </si>
  <si>
    <t>http://www.lessar.com/ventilation/ruvent_solutions/ventilyatory_ruvent/lv-fdt-a-s-l-ru/lv-fdta-s-600x300-l-2-3-ru/</t>
  </si>
  <si>
    <t>http://www.lessar.com/ventilation/ruvent_solutions/ventilyatory_ruvent/lv-fdt-a-s-l-ru/lv-fdta-s-600x350-l-2-3-ru/</t>
  </si>
  <si>
    <t>http://www.lessar.com/ventilation/ruvent_solutions/ventilyatory_ruvent/lv-fdt-a-s-l-ru/lv-fdta-s-700x400-l-2-3-ru/</t>
  </si>
  <si>
    <t>http://www.lessar.com/ventilation/ruvent_solutions/ventilyatory_ruvent/lv-fdt-a-s-l-ru/lv-fdta-s-800x500-l-2-3-ru/</t>
  </si>
  <si>
    <t>http://www.lessar.com/ventilation/ruvent_solutions/ventilyatory_ruvent/lv-fdt-a-s-l-ru/lv-fdta-s-900x500-l-2-3-ru/</t>
  </si>
  <si>
    <t>http://www.lessar.com/ventilation/ruvent_solutions/ventilyatory_ruvent/lv-fdt-a-s-l-ru/lv-fdta-s-1000x500-l-4-3-ru/</t>
  </si>
  <si>
    <t>Вентилятор шумоизолированный LV-FDTS 600x300-M-2-3 E16</t>
  </si>
  <si>
    <t>Вентилятор шумоизолированный LV-FDTS 600x350-M-2-3 E16</t>
  </si>
  <si>
    <t>http://www.lessar.com/ventilation/rational_solutions/ventilyatory/lv-fdts/lv-fdts-500x250-4-3/</t>
  </si>
  <si>
    <t>http://www.lessar.com/ventilation/rational_solutions/ventilyatory/lv-fdts/lv-fdts-500x300-4-1/</t>
  </si>
  <si>
    <t>http://www.lessar.com/ventilation/rational_solutions/ventilyatory/lv-fdts/lv-fdts-500x300-4-3/</t>
  </si>
  <si>
    <t>http://www.lessar.com/ventilation/rational_solutions/ventilyatory/lv-fdts/lv-fdts-600x300-4-1/</t>
  </si>
  <si>
    <t>http://www.lessar.com/ventilation/rational_solutions/ventilyatory/lv-fdts/lv-fdts-600x300-4-3/</t>
  </si>
  <si>
    <t>http://www.lessar.com/ventilation/rational_solutions/ventilyatory/lv-fdts/lv-fdts-600x350-4-1/</t>
  </si>
  <si>
    <t>http://www.lessar.com/ventilation/rational_solutions/ventilyatory/lv-fdts/lv-fdts-600x350-4-3/</t>
  </si>
  <si>
    <t>http://www.lessar.com/ventilation/rational_solutions/ventilyatory/lv-fdts/lv-fdts-700x400-4-3/</t>
  </si>
  <si>
    <t>http://www.lessar.com/ventilation/rational_solutions/ventilyatory/lv-fdts/lv-fdts-800x500-4-3/</t>
  </si>
  <si>
    <t>http://www.lessar.com/ventilation/rational_solutions/ventilyatory/lv-fdts/lv-fdts-1000x500-4-3/</t>
  </si>
  <si>
    <t>http://www.lessar.com/ventilation/rational_solutions/ventilyatory/lv-fke/lv-fke-160-4-3/</t>
  </si>
  <si>
    <t>http://www.lessar.com/ventilation/rational_solutions/ventilyatory/lv-fke/lv-fke-180-4-3/</t>
  </si>
  <si>
    <t>http://www.lessar.com/ventilation/rational_solutions/ventilyatory/lv-fke/lv-fke-200-4-3/</t>
  </si>
  <si>
    <t>http://www.lessar.com/ventilation/rational_solutions/ventilyatory/lv-fke/lv-fke-225-4-3/</t>
  </si>
  <si>
    <t>http://www.lessar.com/ventilation/rational_solutions/ventilyatory/lv-fke/lv-fke-250-4-3/</t>
  </si>
  <si>
    <t>http://www.lessar.com/ventilation/rational_solutions/ventilyatory/lv-fke/lv-fke-280-4-3/</t>
  </si>
  <si>
    <t>http://www.lessar.com/ventilation/rational_solutions/ventilyatory/lv-fke/lv-fke-315-4-3/</t>
  </si>
  <si>
    <t>http://www.lessar.com/ventilation/rational_solutions/ventilyatory/lv-fke/lv-fke-355-4-3/</t>
  </si>
  <si>
    <t>http://www.lessar.com/ventilation/rational_solutions/ventilyatory/lv-fke/lv-fke-400-4-3/</t>
  </si>
  <si>
    <t>http://www.lessar.com/ventilation/ruvent_solutions/ventilyatory_ruvent/lv-fkq-ru/lv-fkq-250-2-3-ru/</t>
  </si>
  <si>
    <t>http://www.lessar.com/ventilation/ruvent_solutions/ventilyatory_ruvent/lv-fkq-ru/lv-fkq-280-2-3-ru/</t>
  </si>
  <si>
    <t>http://www.lessar.com/ventilation/ruvent_solutions/ventilyatory_ruvent/lv-fkq-ru/lv-fkq-311-2-3-ru/</t>
  </si>
  <si>
    <t>http://www.lessar.com/ventilation/ruvent_solutions/ventilyatory_ruvent/lv-fkq-ru/lv-fkq-355-2-3-ru/</t>
  </si>
  <si>
    <t>http://www.lessar.com/ventilation/ruvent_solutions/ventilyatory_ruvent/lv-fkq-ru/lv-fkq-400-2-3-ru/</t>
  </si>
  <si>
    <t>http://www.lessar.com/ventilation/ruvent_solutions/ventilyatory_ruvent/lv-fkq-ru/lv-fkq-450-4-3-ru/</t>
  </si>
  <si>
    <t>http://www.lessar.com/ventilation/ruvent_solutions/ventilyatory_ruvent/lv-fkq-ru/lv-fkq-450-2-3-ru/</t>
  </si>
  <si>
    <t>http://www.lessar.com/ventilation/ruvent_solutions/ventilyatory_ruvent/lv-fkq-ru/lv-fkq-500-4-3-ru/</t>
  </si>
  <si>
    <t>http://www.lessar.com/ventilation/ruvent_solutions/ventilyatory_ruvent/lv-fkq-ru/lv-fkq-560-4-3-ru/</t>
  </si>
  <si>
    <t>http://www.lessar.com/ventilation/ruvent_solutions/ventilyatory_ruvent/lv-fkq-ru/lv-fkq-630-4-3-ru/</t>
  </si>
  <si>
    <t>http://www.lessar.com/ventilation/ruvent_solutions/ventilyatory_ruvent/lv-fkq-ru/lv-fkq-710-4-3-ru/</t>
  </si>
  <si>
    <t>Вентилятор крышный бытового типа LV-FRCH 190 S E15</t>
  </si>
  <si>
    <t>Вентилятор крышный бытового типа LV-FRCH 190 L E15</t>
  </si>
  <si>
    <t>Вентилятор крышный бытового типа LV-FRCH 220 S E15</t>
  </si>
  <si>
    <t>Вентилятор крышный бытового типа LV-FRCH 220 M E15</t>
  </si>
  <si>
    <t>Вентилятор крышный бытового типа LV-FRCH 225 L E15</t>
  </si>
  <si>
    <t>Вентилятор крышный бытового типа LV-FRCH 250 L E15</t>
  </si>
  <si>
    <t>http://www.lessar.com/ventilation/rational_solutions/ventilyatory/lv-frch-e15/lv-frch-190-s-e15/</t>
  </si>
  <si>
    <t>http://www.lessar.com/ventilation/rational_solutions/ventilyatory/lv-frch-e15/lv-frch-190-l-e15/</t>
  </si>
  <si>
    <t>http://www.lessar.com/ventilation/rational_solutions/ventilyatory/lv-frch-e15/lv-frch-220-s-e15/</t>
  </si>
  <si>
    <t>http://www.lessar.com/ventilation/rational_solutions/ventilyatory/lv-frch-e15/lv-frch-220-m-e15/</t>
  </si>
  <si>
    <t>http://www.lessar.com/ventilation/rational_solutions/ventilyatory/lv-frch-e15/lv-frch-225l-e15/</t>
  </si>
  <si>
    <t>http://www.lessar.com/ventilation/rational_solutions/ventilyatory/lv-frch-e15/lv-frch-250l-e15/</t>
  </si>
  <si>
    <t>Вентилятор крышный бытового типа LV-FRCH 190-ECO E15</t>
  </si>
  <si>
    <t>Вентилятор крышный бытового типа LV-FRCH 220-ECO E15</t>
  </si>
  <si>
    <t>Вентилятор крышный бытового типа LV-FRCH 225-ECO E15</t>
  </si>
  <si>
    <t>Вентилятор крышный бытового типа LV-FRCH 250-ECO E15</t>
  </si>
  <si>
    <t>http://www.lessar.com/ventilation/progressive_solutions/ventilyatory_ECO/lv-frch-eco/lv-frch-190-eco/</t>
  </si>
  <si>
    <t>http://www.lessar.com/ventilation/progressive_solutions/ventilyatory_ECO/lv-frch-eco/lv-frch-220-eco/</t>
  </si>
  <si>
    <t>http://www.lessar.com/ventilation/progressive_solutions/ventilyatory_ECO/lv-frch-eco/lv-frch-225-eco/</t>
  </si>
  <si>
    <t>Вентилятор крышный LV-FRCV 250-2S-1 E15</t>
  </si>
  <si>
    <t>Вентилятор крышный LV-FRCV 311-4-1 E15</t>
  </si>
  <si>
    <t>Вентилятор крышный LV-FRCV 311-4-3 E15</t>
  </si>
  <si>
    <t>Вентилятор крышный LV-FRCV 355-4-1 E15</t>
  </si>
  <si>
    <t>Вентилятор крышный LV-FRCV 355-4-3 E15</t>
  </si>
  <si>
    <t>Вентилятор крышный LV-FRCV 400-4-1 E15</t>
  </si>
  <si>
    <t>Вентилятор крышный LV-FRCV 400-4-3 E15</t>
  </si>
  <si>
    <t>Вентилятор крышный LV-FRCV 450-6-1 E15</t>
  </si>
  <si>
    <t>Вентилятор крышный LV-FRCV 450-6-3 E15</t>
  </si>
  <si>
    <t>Вентилятор крышный LV-FRCV 450-4-1 E15</t>
  </si>
  <si>
    <t>Вентилятор крышный LV-FRCV 450-4-3 E15</t>
  </si>
  <si>
    <t>Вентилятор крышный LV-FRCV 500-6-3 E15</t>
  </si>
  <si>
    <t>Вентилятор крышный LV-FRCV 500-4-3 E15</t>
  </si>
  <si>
    <t>Вентилятор крышный LV-FRCV 560-6-3 E15</t>
  </si>
  <si>
    <t>Вентилятор крышный LV-FRCV 560-4-3 E15</t>
  </si>
  <si>
    <t>Вентилятор крышный LV-FRCV 630-8-3 E15</t>
  </si>
  <si>
    <t>Вентилятор крышный LV-FRCV 630-6-3 E15</t>
  </si>
  <si>
    <t>Вентилятор крышный LV-FRCV 630-4-3 E15</t>
  </si>
  <si>
    <t>Вентилятор крышный LV-FRCV 710-8-3 E15</t>
  </si>
  <si>
    <t>Вентилятор крышный LV-FRCV 710-6-3 E15</t>
  </si>
  <si>
    <t>http://www.lessar.com/ventilation/rational_solutions/ventilyatory/lv-frcv/lv-frcv-250-2s-1/</t>
  </si>
  <si>
    <t>http://www.lessar.com/ventilation/rational_solutions/ventilyatory/lv-frcv/lv-frcv-311-4-1/</t>
  </si>
  <si>
    <t>http://www.lessar.com/ventilation/rational_solutions/ventilyatory/lv-frcv/lv-frcv-311-4-3/</t>
  </si>
  <si>
    <t>http://www.lessar.com/ventilation/rational_solutions/ventilyatory/lv-frcv/lv-frcv-355-4-1/</t>
  </si>
  <si>
    <t>http://www.lessar.com/ventilation/rational_solutions/ventilyatory/lv-frcv/lv-frcv-355-4-3/</t>
  </si>
  <si>
    <t>http://www.lessar.com/ventilation/rational_solutions/ventilyatory/lv-frcv/lv-frcv-400-4-1/</t>
  </si>
  <si>
    <t>http://www.lessar.com/ventilation/rational_solutions/ventilyatory/lv-frcv/lv-frcv-400-4-3/</t>
  </si>
  <si>
    <t>http://www.lessar.com/ventilation/rational_solutions/ventilyatory/lv-frcv/lv-frcv-450-6-1/</t>
  </si>
  <si>
    <t>http://www.lessar.com/ventilation/rational_solutions/ventilyatory/lv-frcv/lv-frcv-450-6-3/</t>
  </si>
  <si>
    <t>http://www.lessar.com/ventilation/rational_solutions/ventilyatory/lv-frcv/lv-frcv-450-4-1/</t>
  </si>
  <si>
    <t>http://www.lessar.com/ventilation/rational_solutions/ventilyatory/lv-frcv/lv-frcv-450-4-3/</t>
  </si>
  <si>
    <t>http://www.lessar.com/ventilation/rational_solutions/ventilyatory/lv-frcv/lv-frcv-500-6-3/</t>
  </si>
  <si>
    <t>http://www.lessar.com/ventilation/rational_solutions/ventilyatory/lv-frcv/lv-frcv-500-4-3/</t>
  </si>
  <si>
    <t>http://www.lessar.com/ventilation/rational_solutions/ventilyatory/lv-frcv/lv-frcv-560-6-3/</t>
  </si>
  <si>
    <t>http://www.lessar.com/ventilation/rational_solutions/ventilyatory/lv-frcv/lv-frcv-560-4-3/</t>
  </si>
  <si>
    <t>http://www.lessar.com/ventilation/rational_solutions/ventilyatory/lv-frcv/lv-frcv-630-8-3/</t>
  </si>
  <si>
    <t>http://www.lessar.com/ventilation/rational_solutions/ventilyatory/lv-frcv/lv-frcv-630-6-3/</t>
  </si>
  <si>
    <t>http://www.lessar.com/ventilation/rational_solutions/ventilyatory/lv-frcv/lv-frcv-630-4-3/</t>
  </si>
  <si>
    <t>http://www.lessar.com/ventilation/rational_solutions/ventilyatory/lv-frcv/lv-frcv-710-8-3/</t>
  </si>
  <si>
    <t>http://www.lessar.com/ventilation/rational_solutions/ventilyatory/lv-frcv/lv-frcv-710-6-3/</t>
  </si>
  <si>
    <t>Вентилятор крышный LV-FRCV 311-1-ECO E15</t>
  </si>
  <si>
    <t>Вентилятор крышный LV-FRCV 355-1-ECO E15</t>
  </si>
  <si>
    <t>Вентилятор крышный LV-FRCV 400-1-ECO E15</t>
  </si>
  <si>
    <t>Вентилятор крышный LV-FRCV 450-3-ECO E15</t>
  </si>
  <si>
    <t>Вентилятор крышный LV-FRCV 500-3-ECO E15</t>
  </si>
  <si>
    <t>Вентилятор крышный LV-FRCV 560-3-ECO E15</t>
  </si>
  <si>
    <t>Вентилятор крышный LV-FRCV 630-3-ECO E15</t>
  </si>
  <si>
    <t>http://www.lessar.com/ventilation/progressive_solutions/ventilyatory_ECO/lv-frcv-eco/lv-frsv-311-1-eco/</t>
  </si>
  <si>
    <t>http://www.lessar.com/ventilation/progressive_solutions/ventilyatory_ECO/lv-frcv-eco/lv-frsv-355-1-eco/</t>
  </si>
  <si>
    <t>http://www.lessar.com/ventilation/progressive_solutions/ventilyatory_ECO/lv-frcv-eco/lv-frsv-400-1-eco/</t>
  </si>
  <si>
    <t>http://www.lessar.com/ventilation/progressive_solutions/ventilyatory_ECO/lv-frcv-eco/lv-frsv-450-3-eco/</t>
  </si>
  <si>
    <t>http://www.lessar.com/ventilation/progressive_solutions/ventilyatory_ECO/lv-frcv-eco/lv-frsv-500-3-eco/</t>
  </si>
  <si>
    <t>http://www.lessar.com/ventilation/progressive_solutions/ventilyatory_ECO/lv-frcv-eco/lv-frsv-560-3-eco/</t>
  </si>
  <si>
    <t>http://www.lessar.com/ventilation/progressive_solutions/ventilyatory_ECO/lv-frcv-eco/lv-frsv-630-3-eco/</t>
  </si>
  <si>
    <t>Вентилятор крышный шумоизолированный LV-FRCS 311-4-1 E15</t>
  </si>
  <si>
    <t>Вентилятор крышный шумоизолированный LV-FRCS 311-4-3 E15</t>
  </si>
  <si>
    <t>Вентилятор крышный шумоизолированный LV-FRCS 355-4-1 E15</t>
  </si>
  <si>
    <t>Вентилятор крышный шумоизолированный LV-FRCS 355-4-3 E15</t>
  </si>
  <si>
    <t>Вентилятор крышный шумоизолированный LV-FRCS 400-4-1 E15</t>
  </si>
  <si>
    <t>Вентилятор крышный шумоизолированный LV-FRCS 400-4-3 E15</t>
  </si>
  <si>
    <t>Вентилятор крышный шумоизолированный LV-FRCS 450-6-1 E15</t>
  </si>
  <si>
    <t>Вентилятор крышный шумоизолированный LV-FRCS 450-6-3 E15</t>
  </si>
  <si>
    <t>Вентилятор крышный шумоизолированный LV-FRCS 450-4-1 E15</t>
  </si>
  <si>
    <t>Вентилятор крышный шумоизолированный LV-FRCS 450-4-3 E15</t>
  </si>
  <si>
    <t>Вентилятор крышный шумоизолированный LV-FRCS 500-6-3 E15</t>
  </si>
  <si>
    <t>Вентилятор крышный шумоизолированный LV-FRCS 500-4-3 E15</t>
  </si>
  <si>
    <t>Вентилятор крышный шумоизолированный LV-FRCS 560-6-3 E15</t>
  </si>
  <si>
    <t>Вентилятор крышный шумоизолированный LV-FRCS 560-4-3 E15</t>
  </si>
  <si>
    <t>Вентилятор крышный шумоизолированный LV-FRCS 630-8-3 E15</t>
  </si>
  <si>
    <t>Вентилятор крышный шумоизолированный LV-FRCS 630-6-3 E15</t>
  </si>
  <si>
    <t>Вентилятор крышный шумоизолированный LV-FRCS 630-4-3 E15</t>
  </si>
  <si>
    <t>Вентилятор крышный шумоизолированный LV-FRCS 710-8-3 E15</t>
  </si>
  <si>
    <t>Вентилятор крышный шумоизолированный LV-FRCS 710-6-3 E15</t>
  </si>
  <si>
    <t>http://www.lessar.com/ventilation/rational_solutions/ventilyatory/lv-frcs/lv-frcs-311-4-1/</t>
  </si>
  <si>
    <t>http://www.lessar.com/ventilation/rational_solutions/ventilyatory/lv-frcs/lv-frcs-311-4-3/</t>
  </si>
  <si>
    <t>http://www.lessar.com/ventilation/rational_solutions/ventilyatory/lv-frcs/lv-frcs-355-4-1/</t>
  </si>
  <si>
    <t>http://www.lessar.com/ventilation/rational_solutions/ventilyatory/lv-frcs/lv-frcs-355-4-3/</t>
  </si>
  <si>
    <t>http://www.lessar.com/ventilation/rational_solutions/ventilyatory/lv-frcs/lv-frcs-400-4-1/</t>
  </si>
  <si>
    <t>http://www.lessar.com/ventilation/rational_solutions/ventilyatory/lv-frcs/lv-frcs-400-4-3/</t>
  </si>
  <si>
    <t>http://www.lessar.com/ventilation/rational_solutions/ventilyatory/lv-frcs/lv-frcs-450-6-1/</t>
  </si>
  <si>
    <t>http://www.lessar.com/ventilation/rational_solutions/ventilyatory/lv-frcs/lv-frcs-450-6-3/</t>
  </si>
  <si>
    <t>http://www.lessar.com/ventilation/rational_solutions/ventilyatory/lv-frcs/lv-frcs-450-4-1/</t>
  </si>
  <si>
    <t>http://www.lessar.com/ventilation/rational_solutions/ventilyatory/lv-frcs/lv-frcs-450-4-3/</t>
  </si>
  <si>
    <t>http://www.lessar.com/ventilation/rational_solutions/ventilyatory/lv-frcs/lv-frcs-500-6-3/</t>
  </si>
  <si>
    <t>http://www.lessar.com/ventilation/rational_solutions/ventilyatory/lv-frcs/lv-frcs-500-4-3/</t>
  </si>
  <si>
    <t>http://www.lessar.com/ventilation/rational_solutions/ventilyatory/lv-frcs/lv-frcs-560-6-3/</t>
  </si>
  <si>
    <t>http://www.lessar.com/ventilation/rational_solutions/ventilyatory/lv-frcs/lv-frcs-560-4-3/</t>
  </si>
  <si>
    <t>http://www.lessar.com/ventilation/rational_solutions/ventilyatory/lv-frcs/lv-frcs-630-8-3/</t>
  </si>
  <si>
    <t>http://www.lessar.com/ventilation/rational_solutions/ventilyatory/lv-frcs/lv-frcs-630-6-3/</t>
  </si>
  <si>
    <t>http://www.lessar.com/ventilation/rational_solutions/ventilyatory/lv-frcs/lv-frcs-630-4-3/</t>
  </si>
  <si>
    <t>http://www.lessar.com/ventilation/rational_solutions/ventilyatory/lv-frcs/lv-frcs-710-8-3/</t>
  </si>
  <si>
    <t>http://www.lessar.com/ventilation/rational_solutions/ventilyatory/lv-frcs/lv-frcs-710-6-3/</t>
  </si>
  <si>
    <t>Вентилятор крышный шумоизолированный LV-FRCS 311-1-ECO E15</t>
  </si>
  <si>
    <t>Вентилятор крышный шумоизолированный LV-FRCS 355-1-ECO E15</t>
  </si>
  <si>
    <t>Вентилятор крышный шумоизолированный LV-FRCS 400-1-ECO E15</t>
  </si>
  <si>
    <t>Вентилятор крышный шумоизолированный LV-FRCS 450-3-ECO E15</t>
  </si>
  <si>
    <t>Вентилятор крышный шумоизолированный LV-FRCS 500-3-ECO E15</t>
  </si>
  <si>
    <t>Вентилятор крышный шумоизолированный LV-FRCS 560-3-ECO E15</t>
  </si>
  <si>
    <t>Вентилятор крышный шумоизолированный LV-FRCS 630-3-ECO E15</t>
  </si>
  <si>
    <t>http://www.lessar.com/ventilation/progressive_solutions/ventilyatory_ECO/lv-frcs-eco/lv-frcs-311-1-eco/</t>
  </si>
  <si>
    <t>http://www.lessar.com/ventilation/progressive_solutions/ventilyatory_ECO/lv-frcs-eco/lv-frcs-355-1-eco/</t>
  </si>
  <si>
    <t>http://www.lessar.com/ventilation/progressive_solutions/ventilyatory_ECO/lv-frcs-eco/lv-frcs-400-1-eco/</t>
  </si>
  <si>
    <t>http://www.lessar.com/ventilation/progressive_solutions/ventilyatory_ECO/lv-frcs-eco/lv-frcs-450-3-eco/</t>
  </si>
  <si>
    <t>http://www.lessar.com/ventilation/progressive_solutions/ventilyatory_ECO/lv-frcs-eco/lv-frcs-500-3-eco/</t>
  </si>
  <si>
    <t>http://www.lessar.com/ventilation/progressive_solutions/ventilyatory_ECO/lv-frcs-eco/lv-frcs-560-3-eco/</t>
  </si>
  <si>
    <t>http://www.lessar.com/ventilation/progressive_solutions/ventilyatory_ECO/lv-frcs-eco/lv-frcs-630-3-eco/</t>
  </si>
  <si>
    <t>Вентилятор крышный LV-FRCV 250-2-3 E16</t>
  </si>
  <si>
    <t>Вентилятор крышный LV-FRCV 280-2-3 E16</t>
  </si>
  <si>
    <t>Вентилятор крышный LV-FRCV 311-2-3 E16</t>
  </si>
  <si>
    <t>Вентилятор крышный LV-FRCV 355-4-3 E16</t>
  </si>
  <si>
    <t>Вентилятор крышный LV-FRCV 355-2-3 E16</t>
  </si>
  <si>
    <t>Вентилятор крышный LV-FRCV 400-4-3 E16</t>
  </si>
  <si>
    <t>Вентилятор крышный LV-FRCV 400-2-3 E16</t>
  </si>
  <si>
    <t>Вентилятор крышный LV-FRCV 450-4-3 E16</t>
  </si>
  <si>
    <t>Вентилятор крышный LV-FRCV 450-2-3 E16</t>
  </si>
  <si>
    <t>Вентилятор крышный LV-FRCV 500-4-3 E16</t>
  </si>
  <si>
    <t>Вентилятор крышный LV-FRCV 560-6-3 E16</t>
  </si>
  <si>
    <t>Вентилятор крышный LV-FRCV 560-4-3 E16</t>
  </si>
  <si>
    <t>Вентилятор крышный LV-FRCV 630-4-3 E16</t>
  </si>
  <si>
    <t>Вентилятор крышный LV-FRCV 710-8-3 E16</t>
  </si>
  <si>
    <t>Вентилятор крышный LV-FRCV 710-6-3 E16</t>
  </si>
  <si>
    <t>Вентилятор крышный LV-FRCV 710-4-3 E16</t>
  </si>
  <si>
    <t>Вентилятор крышный LV-FRCV 800-6-3 E16</t>
  </si>
  <si>
    <t>Вентилятор крышный LV-FRCV 800-4-3 E16</t>
  </si>
  <si>
    <t>Вентилятор крышный LV-FRCV 900-8-3 E16</t>
  </si>
  <si>
    <t>Вентилятор крышный LV-FRCV 900-6-3 E16</t>
  </si>
  <si>
    <t>Вентилятор крышный LV-FRCV 900-4-3 E16</t>
  </si>
  <si>
    <t>Вентилятор крышный LV-FRCV 1000-8-3 E16</t>
  </si>
  <si>
    <t>Вентилятор крышный LV-FRCV 1000-6-3 E16</t>
  </si>
  <si>
    <t>http://www.lessar.com/ventilation/ruvent_solutions/ventilyatory_ruvent/lv-frcv-ru/lv-frcv-250-2-3-ru/</t>
  </si>
  <si>
    <t>http://www.lessar.com/ventilation/ruvent_solutions/ventilyatory_ruvent/lv-frcv-ru/lv-frcv-280-2-3-ru/</t>
  </si>
  <si>
    <t>http://www.lessar.com/ventilation/ruvent_solutions/ventilyatory_ruvent/lv-frcv-ru/lv-frcv-311-2-3-ru/</t>
  </si>
  <si>
    <t>http://www.lessar.com/ventilation/ruvent_solutions/ventilyatory_ruvent/lv-frcv-ru/lv-frcv-355-4-3-ru/</t>
  </si>
  <si>
    <t>http://www.lessar.com/ventilation/ruvent_solutions/ventilyatory_ruvent/lv-frcv-ru/lv-frcv-355-2-3-ru/</t>
  </si>
  <si>
    <t>http://www.lessar.com/ventilation/ruvent_solutions/ventilyatory_ruvent/lv-frcv-ru/lv-frcv-400-4-3-ru/</t>
  </si>
  <si>
    <t>http://www.lessar.com/ventilation/ruvent_solutions/ventilyatory_ruvent/lv-frcv-ru/lv-frcv-400-2-3-ru/</t>
  </si>
  <si>
    <t>http://www.lessar.com/ventilation/ruvent_solutions/ventilyatory_ruvent/lv-frcv-ru/lv-frcv-450-4-3-ru/</t>
  </si>
  <si>
    <t>http://www.lessar.com/ventilation/ruvent_solutions/ventilyatory_ruvent/lv-frcv-ru/lv-frcv-450-2-3-ru/</t>
  </si>
  <si>
    <t>http://www.lessar.com/ventilation/ruvent_solutions/ventilyatory_ruvent/lv-frcv-ru/lv-frcv-500-4-3-ru/</t>
  </si>
  <si>
    <t>http://www.lessar.com/ventilation/ruvent_solutions/ventilyatory_ruvent/lv-frcv-ru/lv-frcv-560-6-3-ru/</t>
  </si>
  <si>
    <t>http://www.lessar.com/ventilation/ruvent_solutions/ventilyatory_ruvent/lv-frcv-ru/lv-frcv-560-4-3-ru/</t>
  </si>
  <si>
    <t>http://www.lessar.com/ventilation/ruvent_solutions/ventilyatory_ruvent/lv-frcv-ru/lv-frcv-630-4-3-ru/</t>
  </si>
  <si>
    <t>http://www.lessar.com/ventilation/ruvent_solutions/ventilyatory_ruvent/lv-frcv-ru/lv-frcv-710-8-3-ru/</t>
  </si>
  <si>
    <t>http://www.lessar.com/ventilation/ruvent_solutions/ventilyatory_ruvent/lv-frcv-ru/lv-frcv-710-6-3-ru/</t>
  </si>
  <si>
    <t>http://www.lessar.com/ventilation/ruvent_solutions/ventilyatory_ruvent/lv-frcv-ru/lv-frcv-710-4-3-ru/</t>
  </si>
  <si>
    <t>http://www.lessar.com/ventilation/ruvent_solutions/ventilyatory_ruvent/lv-frcv-ru/lv-frcv-800-6-3-ru/</t>
  </si>
  <si>
    <t>http://www.lessar.com/ventilation/ruvent_solutions/ventilyatory_ruvent/lv-frcv-ru/lv-frcv-800-4-3-ru/</t>
  </si>
  <si>
    <t>http://www.lessar.com/ventilation/ruvent_solutions/ventilyatory_ruvent/lv-frcv-ru/lv-frcv-900-8-3-ru/</t>
  </si>
  <si>
    <t>http://www.lessar.com/ventilation/ruvent_solutions/ventilyatory_ruvent/lv-frcv-ru/lv-frcv-900-6-3-ru/</t>
  </si>
  <si>
    <t>http://www.lessar.com/ventilation/ruvent_solutions/ventilyatory_ruvent/lv-frcv-ru/lv-frcv-900-4-3-ru/</t>
  </si>
  <si>
    <t>http://www.lessar.com/ventilation/ruvent_solutions/ventilyatory_ruvent/lv-frcv-ru/lv-frcv-1000-8-3-ru/</t>
  </si>
  <si>
    <t>http://www.lessar.com/ventilation/ruvent_solutions/ventilyatory_ruvent/lv-frcv-ru/lv-frcv-1000-6-3-ru/</t>
  </si>
  <si>
    <t>Решетка наружная LV-LCA 100 E15</t>
  </si>
  <si>
    <t>Решетка наружная LV-LCA 125 E15</t>
  </si>
  <si>
    <t>Решетка наружная LV-LCA 160 E15</t>
  </si>
  <si>
    <t>Решетка наружная LV-LCA 200 E15</t>
  </si>
  <si>
    <t>Решетка наружная LV-LCA 250 E15</t>
  </si>
  <si>
    <t>Решетка наружная LV-LCA 315 E15</t>
  </si>
  <si>
    <t>Решетка наружная LV-LCA 355 E15</t>
  </si>
  <si>
    <t>Решетка наружная LV-LCA 400 E15</t>
  </si>
  <si>
    <t>Решетка наружная LV-LCA 450 E15</t>
  </si>
  <si>
    <t>Решетка наружная LV-LCA 500 E15</t>
  </si>
  <si>
    <t>Решетка наружная LV-LCA 560 E15</t>
  </si>
  <si>
    <t>Решетка наружная LV-LCA 630 E15</t>
  </si>
  <si>
    <t>Решетка наружная LV-LCA 710 E15</t>
  </si>
  <si>
    <t>Решетка наружная LV-LCA 800 E15</t>
  </si>
  <si>
    <t>Решетка наружная LV-LCA 900 E15</t>
  </si>
  <si>
    <t>Решетка наружная LV-LCA 1000 E15</t>
  </si>
  <si>
    <t>http://www.lessar.com/ventilation/aksessuary/rechotki_vozdukhoraspredeliteli/lv-lca-all/</t>
  </si>
  <si>
    <t>Решетка наружная LV-LCB 80 E15</t>
  </si>
  <si>
    <t>Решетка наружная LV-LCB 100 E15</t>
  </si>
  <si>
    <t>Решетка наружная LV-LCB 125 E15</t>
  </si>
  <si>
    <t>Решетка наружная LV-LCB 160  E15</t>
  </si>
  <si>
    <t>Решетка наружная LV-LCB 200 E15</t>
  </si>
  <si>
    <t>Решетка наружная LV-LCB 250 E15</t>
  </si>
  <si>
    <t>Решетка наружная LV-LCB 315 E15</t>
  </si>
  <si>
    <t>http://www.lessar.com/ventilation/aksessuary/rechotki_vozdukhoraspredeliteli/lv-lcb-all/</t>
  </si>
  <si>
    <t>Диффузор вытяжной LV-DCV 100 E15</t>
  </si>
  <si>
    <t>Диффузор вытяжной LV-DCV 125 E15</t>
  </si>
  <si>
    <t>Диффузор вытяжной LV-DCV 160 E15</t>
  </si>
  <si>
    <t>Диффузор вытяжной LV-DCV 200 E15</t>
  </si>
  <si>
    <t>Диффузор приточный LV-DCP 100 E15</t>
  </si>
  <si>
    <t>Диффузор приточный LV-DCP 125 E15</t>
  </si>
  <si>
    <t>Диффузор приточный LV-DCP 160 E15</t>
  </si>
  <si>
    <t>Диффузор приточный LV-DCP 200 E15</t>
  </si>
  <si>
    <t>http://www.lessar.com/ventilation/aksessuary/rechotki_vozdukhoraspredeliteli/lv-dcv-all/</t>
  </si>
  <si>
    <t>http://www.lessar.com/ventilation/aksessuary/rechotki_vozdukhoraspredeliteli/lv-dcp-all/</t>
  </si>
  <si>
    <t>Диффузор перфорированный LV-DQH 100 E15</t>
  </si>
  <si>
    <t>Диффузор перфорированный LV-DQH 125 E15</t>
  </si>
  <si>
    <t>Диффузор перфорированный LV-DQH 160 E15</t>
  </si>
  <si>
    <t>Диффузор перфорированный LV-DQH 200 E15</t>
  </si>
  <si>
    <t>Диффузор перфорированный LV-DQH 250 E15</t>
  </si>
  <si>
    <t>Диффузор перфорированный LV-DQH 315 E15</t>
  </si>
  <si>
    <t>Диффузор перфорированный LV-DQH 400 E15</t>
  </si>
  <si>
    <t>http://www.lessar.com/ventilation/aksessuary/rechotki_vozdukhoraspredeliteli/lv-dqh-all/</t>
  </si>
  <si>
    <t>Камера воздушная LV-PDC 100x100 E15</t>
  </si>
  <si>
    <t>Камера воздушная LV-PDC 100x125 E15</t>
  </si>
  <si>
    <t>Камера воздушная LV-PDC 125x125 E15</t>
  </si>
  <si>
    <t>Камера воздушная LV-PDC 125x160 E15</t>
  </si>
  <si>
    <t>Камера воздушная LV-PDC 125x200 E15</t>
  </si>
  <si>
    <t>Камера воздушная LV-PDC 160x160 E15</t>
  </si>
  <si>
    <t>Камера воздушная LV-PDC 160x200 E15</t>
  </si>
  <si>
    <t>Камера воздушная LV-PDC 160x250 E15</t>
  </si>
  <si>
    <t>Камера воздушная LV-PDC 160x315 E15</t>
  </si>
  <si>
    <t>Камера воздушная LV-PDC 200x200 E15</t>
  </si>
  <si>
    <t>Камера воздушная LV-PDC 200x250 E15</t>
  </si>
  <si>
    <t>Камера воздушная LV-PDC 200x315 E15</t>
  </si>
  <si>
    <t>Камера воздушная LV-PDC 250x250 E15</t>
  </si>
  <si>
    <t>Камера воздушная LV-PDC 250x315 E15</t>
  </si>
  <si>
    <t>Камера воздушная LV-PDC 315x315 E15</t>
  </si>
  <si>
    <t>Камера воздушная LV-PDC 315x400 E15</t>
  </si>
  <si>
    <t>http://www.lessar.com/ventilation/aksessuary/rechotki_vozdukhoraspredeliteli/lv-pdc-all/</t>
  </si>
  <si>
    <t>Вентиляционная установка с электронагревом LV-WECU 2000-6,0-1-V4</t>
  </si>
  <si>
    <t>Вентиляционная установка с электронагревом LV-WECU 4000-27,0-1-V4</t>
  </si>
  <si>
    <t>Вентиляционная установка с электронагревом LV-WECU 400-1,2-1-V4</t>
  </si>
  <si>
    <t>Вентиляционная установка с электронагревом LV-WECU 400-2,0-1-V4</t>
  </si>
  <si>
    <t>Вентиляционная установка с электронагревом LV-WECU 400-5,0-1-V4</t>
  </si>
  <si>
    <t>Вентиляционная установка с электронагревом LV-WECU 700-2,4-1-V4</t>
  </si>
  <si>
    <t>Вентиляционная установка с электронагревом LV-WECU 700-5,0-1-V4</t>
  </si>
  <si>
    <t>Вентиляционная установка с электронагревом LV-WECU 700-9,0-1-V4</t>
  </si>
  <si>
    <t>Вентиляционная установка с электронагревом LV-WECU 1000-2,4-1-V4</t>
  </si>
  <si>
    <t>Вентиляционная установка с электронагревом LV-WECU 1000-5,0-1-V4</t>
  </si>
  <si>
    <t>Вентиляционная установка с электронагревом LV-WECU 1000-9,0-1-V4</t>
  </si>
  <si>
    <t>Вентиляционная установка с электронагревом LV-WECU 1000-12,0-1-V4</t>
  </si>
  <si>
    <t>Вентиляционная установка с электронагревом LV-WECU 2000-15,0-1-V4</t>
  </si>
  <si>
    <t>Вентиляционная установка с электронагревом LV-WECU 2000-21,0-1-V4</t>
  </si>
  <si>
    <t>Вентиляционная установка с электронагревом LV-WECU 3000-15,0-1-V4</t>
  </si>
  <si>
    <t>Вентиляционная установка с электронагревом LV-WECU 3000-21,0-1-V4</t>
  </si>
  <si>
    <t>Вентиляционная установка с электронагревом LV-WECU 3000-30,0-1-V4</t>
  </si>
  <si>
    <t>Вентиляционная установка с электронагревом LV-WECU 3000-39,0-1-V4</t>
  </si>
  <si>
    <t>Вентиляционная установка с электронагревом LV-WECU 4000-21,0-1-V4</t>
  </si>
  <si>
    <t>Вентиляционная установка с электронагревом LV-WECU 4000-39,0-1-V4</t>
  </si>
  <si>
    <t>Вентиляционная установка с электронагревом LV-WECU 4000-54,0-1-V4</t>
  </si>
  <si>
    <t>Вентиляционная установка с водяным нагревом LV-WECU 1000 W-14,4-1-V4</t>
  </si>
  <si>
    <t>Вентиляционная установка с водяным нагревом LV-WECU 2000 W-26,9-1-V4</t>
  </si>
  <si>
    <t>Вентиляционная установка с водяным нагревом LV-WECU 3000 W-40,6-1-V4</t>
  </si>
  <si>
    <t>Вентиляционная установка с водяным нагревом LV-WECU 4000 W-54,0-1-V4</t>
  </si>
  <si>
    <t>http://www.lessar.com/ventilation/rational_solutions/kompaktnye_ventagregati/lv-wecu-v4/lv-wecu-400-1-2-v4/</t>
  </si>
  <si>
    <t>http://www.lessar.com/ventilation/rational_solutions/kompaktnye_ventagregati/lv-wecu-v4/lv-wecu-400-2-0-v4/</t>
  </si>
  <si>
    <t>http://www.lessar.com/ventilation/rational_solutions/kompaktnye_ventagregati/lv-wecu-v4/lv-wecu-400-5-0-v4/</t>
  </si>
  <si>
    <t>http://www.lessar.com/ventilation/rational_solutions/kompaktnye_ventagregati/lv-wecu-v4/lv-wecu-700-2-4-v4/</t>
  </si>
  <si>
    <t>http://www.lessar.com/ventilation/rational_solutions/kompaktnye_ventagregati/lv-wecu-v4/lv-wecu-700-5-0-v4/</t>
  </si>
  <si>
    <t>http://www.lessar.com/ventilation/rational_solutions/kompaktnye_ventagregati/lv-wecu-v4/lv-wecu-700-9-0-v4/</t>
  </si>
  <si>
    <t>http://www.lessar.com/ventilation/rational_solutions/kompaktnye_ventagregati/lv-wecu-v4/lv-wecu-1000-2-4-v4/</t>
  </si>
  <si>
    <t>http://www.lessar.com/ventilation/rational_solutions/kompaktnye_ventagregati/lv-wecu-v4/lv-wecu-1000-5-0-v4/</t>
  </si>
  <si>
    <t>http://www.lessar.com/ventilation/rational_solutions/kompaktnye_ventagregati/lv-wecu-v4/lv-wecu-1000-9-0-v4/</t>
  </si>
  <si>
    <t>http://www.lessar.com/ventilation/rational_solutions/kompaktnye_ventagregati/lv-wecu-v4/lv-wecu-1000-12-0-v4/</t>
  </si>
  <si>
    <t>http://www.lessar.com/ventilation/rational_solutions/kompaktnye_ventagregati/lv-wecu-v4/lv-wecu-2000-6-0-v4/</t>
  </si>
  <si>
    <t>http://www.lessar.com/ventilation/rational_solutions/kompaktnye_ventagregati/lv-wecu-v4/lv-wecu-2000-15-0-v4/</t>
  </si>
  <si>
    <t>http://www.lessar.com/ventilation/rational_solutions/kompaktnye_ventagregati/lv-wecu-v4/lv-wecu-2000-21-0-v4/</t>
  </si>
  <si>
    <t>http://www.lessar.com/ventilation/rational_solutions/kompaktnye_ventagregati/lv-wecu-v4/lv-wecu-3000-15-0-v4/</t>
  </si>
  <si>
    <t>http://www.lessar.com/ventilation/rational_solutions/kompaktnye_ventagregati/lv-wecu-v4/lv-wecu-3000-21-0-v4/</t>
  </si>
  <si>
    <t>http://www.lessar.com/ventilation/rational_solutions/kompaktnye_ventagregati/lv-wecu-v4/lv-wecu-3000-30-0-v4/</t>
  </si>
  <si>
    <t>http://www.lessar.com/ventilation/rational_solutions/kompaktnye_ventagregati/lv-wecu-v4/lv-wecu-3000-39-0-v4/</t>
  </si>
  <si>
    <t>http://www.lessar.com/ventilation/rational_solutions/kompaktnye_ventagregati/lv-wecu-v4/lv-wecu-4000-21-0-v4/</t>
  </si>
  <si>
    <t>http://www.lessar.com/ventilation/rational_solutions/kompaktnye_ventagregati/lv-wecu-v4/lv-wecu-4000-27-0-v4/</t>
  </si>
  <si>
    <t>http://www.lessar.com/ventilation/rational_solutions/kompaktnye_ventagregati/lv-wecu-v4/lv-wecu-4000-39-0-v4/</t>
  </si>
  <si>
    <t>http://www.lessar.com/ventilation/rational_solutions/kompaktnye_ventagregati/lv-wecu-v4/lv-wecu-4000-54-0-v4/</t>
  </si>
  <si>
    <t>http://www.lessar.com/ventilation/rational_solutions/kompaktnye_ventagregati/lv-wecu-v4/lv-wecu-1000-w14-4-v4/</t>
  </si>
  <si>
    <t>http://www.lessar.com/ventilation/rational_solutions/kompaktnye_ventagregati/lv-wecu-v4/lv-wecu-2000-w26-9-v4/</t>
  </si>
  <si>
    <t>http://www.lessar.com/ventilation/rational_solutions/kompaktnye_ventagregati/lv-wecu-v4/lv-wecu-3000-w40-6-v4/</t>
  </si>
  <si>
    <t>http://www.lessar.com/ventilation/rational_solutions/kompaktnye_ventagregati/lv-wecu-v4/lv-wecu-4000-w54-0-v4/</t>
  </si>
  <si>
    <t>Установка с электронагревом LV-PACU 400 PE-V4</t>
  </si>
  <si>
    <t>Установка с электронагревом LV-PACU 700 PE-V4</t>
  </si>
  <si>
    <t>Установка с электронагревом LV-PACU 1000 PE-V4</t>
  </si>
  <si>
    <t>Установка с электронагревом LV-PACU 1500 PE-V4</t>
  </si>
  <si>
    <t>Установка с водяным нагревом LV-PACU 400 PW-V4 ( 1 )</t>
  </si>
  <si>
    <t>Установка с водяным нагревом LV-PACU 700 PW-V4 ( 1 )</t>
  </si>
  <si>
    <t>Установка с водяным нагревом LV-PACU 1000 PW-V4 ( 1 )</t>
  </si>
  <si>
    <t>Установка с водяным нагревом LV-PACU 1500 PW-V4 ( 1 )</t>
  </si>
  <si>
    <t>http://www.lessar.com/ventilation/rational_solutions/kompaktnye_ventagregati/lv-pacu-p/lv-pacu-400-pe-v4/</t>
  </si>
  <si>
    <t>http://www.lessar.com/ventilation/rational_solutions/kompaktnye_ventagregati/lv-pacu-p/lv-pacu-700-pe-v4/</t>
  </si>
  <si>
    <t>http://www.lessar.com/ventilation/rational_solutions/kompaktnye_ventagregati/lv-pacu-p/lv-pacu-1000-pe-v4/</t>
  </si>
  <si>
    <t>http://www.lessar.com/ventilation/rational_solutions/kompaktnye_ventagregati/lv-pacu-p/lv-pacu-1500-pe-v4/</t>
  </si>
  <si>
    <t>http://www.lessar.com/ventilation/rational_solutions/kompaktnye_ventagregati/lv-pacu-p/lv-pacu-400-pw-v4/</t>
  </si>
  <si>
    <t>http://www.lessar.com/ventilation/rational_solutions/kompaktnye_ventagregati/lv-pacu-p/lv-pacu-700-pw-v4/</t>
  </si>
  <si>
    <t>http://www.lessar.com/ventilation/rational_solutions/kompaktnye_ventagregati/lv-pacu-p/lv-pacu-1000-pw-v4/</t>
  </si>
  <si>
    <t>http://www.lessar.com/ventilation/rational_solutions/kompaktnye_ventagregati/lv-pacu-p/lv-pacu-1500-pw-v4/</t>
  </si>
  <si>
    <t>Установка с электронагревом LV-PACU 400 VEL-V4</t>
  </si>
  <si>
    <t>Установка с электронагревом LV-PACU 400 VER-V4</t>
  </si>
  <si>
    <t>Установка с электронагревом LV-PACU 700 VEL-V4</t>
  </si>
  <si>
    <t>Установка с электронагревом LV-PACU 700 VER-V4</t>
  </si>
  <si>
    <t>Установка с электронагревом LV-PACU 1000 VEL-V4</t>
  </si>
  <si>
    <t>Установка с электронагревом LV-PACU 1000 VER-V4</t>
  </si>
  <si>
    <t>Установка с электронагревом LV-PACU 1500 VEL-V4</t>
  </si>
  <si>
    <t>Установка с электронагревом LV-PACU 1500 VER-V4</t>
  </si>
  <si>
    <t>Установка с электронагревом LV-PACU 1900 VEL-V4</t>
  </si>
  <si>
    <t>Установка с электронагревом LV-PACU 1900 VER-V4</t>
  </si>
  <si>
    <t>Установка с водяным нагревом LV-PACU 400 VWL-V4 ( 1 )</t>
  </si>
  <si>
    <t>Установка с водяным нагревом LV-PACU 400 VWR-V4 ( 1 )</t>
  </si>
  <si>
    <t>Установка с водяным нагревом LV-PACU 700 VWL-V4 ( 1 )</t>
  </si>
  <si>
    <t>Установка с водяным нагревом LV-PACU 700 VWR-V4 ( 1 )</t>
  </si>
  <si>
    <t>Установка с водяным нагревом LV-PACU 1000 VWL-V4</t>
  </si>
  <si>
    <t>Установка с водяным нагревом LV-PACU 1000 VWR-V4</t>
  </si>
  <si>
    <t>Установка с водяным нагревом LV-PACU 1500 VWL-V4</t>
  </si>
  <si>
    <t>Установка с водяным нагревом LV-PACU 1500 VWR-V4</t>
  </si>
  <si>
    <t>Установка с водяным нагревом LV-PACU 1900 VWL-V4</t>
  </si>
  <si>
    <t>Установка с водяным нагревом LV-PACU 1900 VWR-V4</t>
  </si>
  <si>
    <t>http://www.lessar.com/ventilation/rational_solutions/kompaktnye_ventagregati/lv-pacu-v/lv-pacu-700-ve-l-r-v4/</t>
  </si>
  <si>
    <t>http://www.lessar.com/ventilation/rational_solutions/kompaktnye_ventagregati/lv-pacu-v/lv-pacu-1000-ve-l-r-v4/</t>
  </si>
  <si>
    <t>http://www.lessar.com/ventilation/rational_solutions/kompaktnye_ventagregati/lv-pacu-v/lv-pacu-1500-ve-l-r-v4/</t>
  </si>
  <si>
    <t>http://www.lessar.com/ventilation/rational_solutions/kompaktnye_ventagregati/lv-pacu-v/lv-pacu-1900-ve-l-r-v4/</t>
  </si>
  <si>
    <t>http://www.lessar.com/ventilation/rational_solutions/kompaktnye_ventagregati/lv-pacu-v/lv-pacu-400-vw-l-r-v4/</t>
  </si>
  <si>
    <t>http://www.lessar.com/ventilation/rational_solutions/kompaktnye_ventagregati/lv-pacu-v/lv-pacu-700-vw-l-r-v4/</t>
  </si>
  <si>
    <t>http://www.lessar.com/ventilation/rational_solutions/kompaktnye_ventagregati/lv-pacu-v/lv-pacu-1000-vw-l-r-v4/</t>
  </si>
  <si>
    <t>http://www.lessar.com/ventilation/rational_solutions/kompaktnye_ventagregati/lv-pacu-v/lv-pacu-1500-vw-l-r-v4/</t>
  </si>
  <si>
    <t>http://www.lessar.com/ventilation/rational_solutions/kompaktnye_ventagregati/lv-pacu-v/lv-pacu-1900-vw-l-r-v4/</t>
  </si>
  <si>
    <t>http://www.lessar.com/ventilation/rational_solutions/kompaktnye_ventagregati/lv-pacu-v/lv-pacu-400-ve-l-r-v4/</t>
  </si>
  <si>
    <t>Установка с электронагревом LV-PACU 400 HE-V4</t>
  </si>
  <si>
    <t>Установка с электронагревом LV-PACU 700 HE-V4</t>
  </si>
  <si>
    <t>Установка с электронагревом LV-PACU 1000 HE-V4</t>
  </si>
  <si>
    <t>Установка с электронагревом LV-PACU 1500 HE-V4</t>
  </si>
  <si>
    <t>Установка с электронагревом LV-PACU 1900 HE-V4</t>
  </si>
  <si>
    <t>Установка с водяным нагревом LV-PACU 1000 HW-V4</t>
  </si>
  <si>
    <t>Установка с водяным нагревом LV-PACU 1500 HW-V4</t>
  </si>
  <si>
    <t>Установка с водяным нагревом LV-PACU 1900 HW-V4</t>
  </si>
  <si>
    <t>http://www.lessar.com/ventilation/rational_solutions/kompaktnye_ventagregati/lv-pacu-n/lv-pacu-400-he-v4/</t>
  </si>
  <si>
    <t>http://www.lessar.com/ventilation/rational_solutions/kompaktnye_ventagregati/lv-pacu-n/lv-pacu-700-he-v4/</t>
  </si>
  <si>
    <t>http://www.lessar.com/ventilation/rational_solutions/kompaktnye_ventagregati/lv-pacu-n/lv-pacu-1000-he-v4/</t>
  </si>
  <si>
    <t>http://www.lessar.com/ventilation/rational_solutions/kompaktnye_ventagregati/lv-pacu-n/lv-pacu-1500-he-v4/</t>
  </si>
  <si>
    <t>http://www.lessar.com/ventilation/rational_solutions/kompaktnye_ventagregati/lv-pacu-n/lv-pacu-1900-he-v4/</t>
  </si>
  <si>
    <t>http://www.lessar.com/ventilation/rational_solutions/kompaktnye_ventagregati/lv-pacu-n/lv-pacu-1000-hw-v4/</t>
  </si>
  <si>
    <t>http://www.lessar.com/ventilation/rational_solutions/kompaktnye_ventagregati/lv-pacu-n/lv-pacu-1500-hw-v4/</t>
  </si>
  <si>
    <t>http://www.lessar.com/ventilation/rational_solutions/kompaktnye_ventagregati/lv-pacu-n/lv-pacu-1900-hw-v4/</t>
  </si>
  <si>
    <t>Установка с электронагревом LV-PACU 700 VER-V4-ECO</t>
  </si>
  <si>
    <t>Установка с электронагревом LV-PACU 700 VEL-V4-ECO</t>
  </si>
  <si>
    <t>Установка с электронагревом LV-PACU 1200 VER-V4-EСO</t>
  </si>
  <si>
    <t>Установка с электронагревом LV-PACU 1200 VEL-V4-EСO</t>
  </si>
  <si>
    <t>Установка с электронагревом LV-PACU 1900 VER-V4-EСO</t>
  </si>
  <si>
    <t>Установка с электронагревом LV-PACU 1900 VEL-V4-EСO</t>
  </si>
  <si>
    <t>Установка с водяным нагревом LV-PACU 700 VWR-V4-EСO ( 1 )</t>
  </si>
  <si>
    <t>Установка с водяным нагревом LV-PACU 700 VWL-V4-EСO ( 1 )</t>
  </si>
  <si>
    <t>Установка с водяным нагревом LV-PACU 1200 VWR-V4-EСO ( 1 )</t>
  </si>
  <si>
    <t>Установка с водяным нагревом LV-PACU 1200 VWL-V4-EСO ( 1 )</t>
  </si>
  <si>
    <t>Установка с водяным нагревом LV-PACU 1900 VWR-V4-EСO ( 1 )</t>
  </si>
  <si>
    <t>Установка с водяным нагревом LV-PACU 1900 VWL-V4-EСO ( 1 )</t>
  </si>
  <si>
    <t>http://www.lessar.com/ventilation/progressive_solutions/kompaktnye_ventagregaty_ECO/lv-pacu-v-v4-eco/lv-pacu-700ve-l-r-v4-eco/</t>
  </si>
  <si>
    <t>http://www.lessar.com/ventilation/progressive_solutions/kompaktnye_ventagregaty_ECO/lv-pacu-v-v4-eco/lv-pacu-1200ve-l-r-v4-eco/</t>
  </si>
  <si>
    <t>http://www.lessar.com/ventilation/progressive_solutions/kompaktnye_ventagregaty_ECO/lv-pacu-v-v4-eco/lv-pacu-1900ve-l-r-v4-eco/</t>
  </si>
  <si>
    <t>http://www.lessar.com/ventilation/progressive_solutions/kompaktnye_ventagregaty_ECO/lv-pacu-v-v4-eco/lv-pacu-700vw-l-r-v4-eco/</t>
  </si>
  <si>
    <t>http://www.lessar.com/ventilation/progressive_solutions/kompaktnye_ventagregaty_ECO/lv-pacu-v-v4-eco/lv-pacu-1200vw-l-r-v4-eco/</t>
  </si>
  <si>
    <t>http://www.lessar.com/ventilation/progressive_solutions/kompaktnye_ventagregaty_ECO/lv-pacu-v-v4-eco/lv-pacu-1900vw-l-r-v4-eco/</t>
  </si>
  <si>
    <t>Установка с электронагревом LV-PACU 400 PE-0,9-V4-ECO</t>
  </si>
  <si>
    <t>Установка с электронагревом LV-PACU 400 PE-1,6-V4-ECO</t>
  </si>
  <si>
    <t>Установка с электронагревом LV-PACU 400 PE-3,0-V4-ECO</t>
  </si>
  <si>
    <t>Установка с электронагревом LV-PACU 700 PE-1,2-V4-ECO</t>
  </si>
  <si>
    <t>Установка с электронагревом LV-PACU 700 PE-3,0-V4-ECO</t>
  </si>
  <si>
    <t>Установка с электронагревом LV-PACU 700 PE-4,5-V4-ECO</t>
  </si>
  <si>
    <t>Установка с электронагревом LV-PACU 1200 PE-3,0-V4-ECO</t>
  </si>
  <si>
    <t>Установка с электронагревом LV-PACU 1200 PE-6,0-V4-ECO</t>
  </si>
  <si>
    <t>Установка с электронагревом LV-PACU 1200 PE-9,0-V4-ECO</t>
  </si>
  <si>
    <t>Установка с электронагревом LV-PACU 1900 PE-3,0-V4-ECO</t>
  </si>
  <si>
    <t>Установка с электронагревом LV-PACU 1900 PE-6,0-V4-ECO</t>
  </si>
  <si>
    <t>Установка с электронагревом LV-PACU 1900 PE-12,0-V4-ECO</t>
  </si>
  <si>
    <t>Установка с электронагревом LV-PACU 2500 PE-4,5-V4-ECO</t>
  </si>
  <si>
    <t>Установка с электронагревом LV-PACU 2500 PE-9,0-V4-ECO</t>
  </si>
  <si>
    <t>Установка с электронагревом LV-PACU 2500 PE-18,0-V4-ECO</t>
  </si>
  <si>
    <t>Установка с водяным нагревом LV-PACU 400 PW-V4-ECO ( 1 )</t>
  </si>
  <si>
    <t>Установка с водяным нагревом LV-PACU 700 PW-V4-ECO ( 1 )</t>
  </si>
  <si>
    <t>Установка с водяным нагревом LV-PACU 1200 PW-V4-ECO ( 1 )</t>
  </si>
  <si>
    <t>Установка с водяным нагревом LV-PACU 1900 PW-V4-ECO ( 1 )</t>
  </si>
  <si>
    <t>Установка с водяным нагревом LV-PACU 2500 PW-V4-ECO ( 1 )</t>
  </si>
  <si>
    <t>http://www.lessar.com/ventilation/progressive_solutions/kompaktnye_ventagregaty_ECO/lv-pacu-p-v4-eco/lv-pacu-400pe-0-9-v4-eco/</t>
  </si>
  <si>
    <t>http://www.lessar.com/ventilation/progressive_solutions/kompaktnye_ventagregaty_ECO/lv-pacu-p-v4-eco/lv-pacu-400pe-1-6-v4-eco/</t>
  </si>
  <si>
    <t>http://www.lessar.com/ventilation/progressive_solutions/kompaktnye_ventagregaty_ECO/lv-pacu-p-v4-eco/lv-pacu-400pe-3-0-v4-eco/</t>
  </si>
  <si>
    <t>http://www.lessar.com/ventilation/progressive_solutions/kompaktnye_ventagregaty_ECO/lv-pacu-p-v4-eco/lv-pacu-400pw-3-0-v4-eco/</t>
  </si>
  <si>
    <t>http://www.lessar.com/ventilation/progressive_solutions/kompaktnye_ventagregaty_ECO/lv-pacu-p-v4-eco/lv-pacu-700pe-1-2-v4-eco/</t>
  </si>
  <si>
    <t>http://www.lessar.com/ventilation/progressive_solutions/kompaktnye_ventagregaty_ECO/lv-pacu-p-v4-eco/lv-pacu-700pe-3-0-v4-eco/</t>
  </si>
  <si>
    <t>http://www.lessar.com/ventilation/progressive_solutions/kompaktnye_ventagregaty_ECO/lv-pacu-p-v4-eco/lv-pacu-700pe-4-5-v4-eco/</t>
  </si>
  <si>
    <t>http://www.lessar.com/ventilation/progressive_solutions/kompaktnye_ventagregaty_ECO/lv-pacu-p-v4-eco/lv-pacu-700pw-v4-eco/</t>
  </si>
  <si>
    <t>http://www.lessar.com/ventilation/progressive_solutions/kompaktnye_ventagregaty_ECO/lv-pacu-p-v4-eco/lv-pacu-1200pe-3-0-v4-eco/</t>
  </si>
  <si>
    <t>http://www.lessar.com/ventilation/progressive_solutions/kompaktnye_ventagregaty_ECO/lv-pacu-p-v4-eco/lv-pacu-1200pe-6-0-v4-eco/</t>
  </si>
  <si>
    <t>http://www.lessar.com/ventilation/progressive_solutions/kompaktnye_ventagregaty_ECO/lv-pacu-p-v4-eco/lv-pacu-1200pe-9-0-v4-eco/</t>
  </si>
  <si>
    <t>http://www.lessar.com/ventilation/progressive_solutions/kompaktnye_ventagregaty_ECO/lv-pacu-p-v4-eco/lv-pacu-1200pw-v4-eco/</t>
  </si>
  <si>
    <t>http://www.lessar.com/ventilation/progressive_solutions/kompaktnye_ventagregaty_ECO/lv-pacu-p-v4-eco/lv-pacu-1900pe-3-0-v4-eco/</t>
  </si>
  <si>
    <t>http://www.lessar.com/ventilation/progressive_solutions/kompaktnye_ventagregaty_ECO/lv-pacu-p-v4-eco/lv-pacu-1900pe-6-0-v4-eco/</t>
  </si>
  <si>
    <t>http://www.lessar.com/ventilation/progressive_solutions/kompaktnye_ventagregaty_ECO/lv-pacu-p-v4-eco/lv-pacu-1900pe-12-0-v4-eco/</t>
  </si>
  <si>
    <t>http://www.lessar.com/ventilation/progressive_solutions/kompaktnye_ventagregaty_ECO/lv-pacu-p-v4-eco/lv-pacu-1900pw-v4-eco/</t>
  </si>
  <si>
    <t>Установка с электронагревом LV-RACU 400 VEL-V4-ЕСО</t>
  </si>
  <si>
    <t>Установка с электронагревом LV-RACU 400 VER-V4-ЕСО</t>
  </si>
  <si>
    <t>Установка с электронагревом LV-RACU 700 VEL-V4-ЕСО</t>
  </si>
  <si>
    <t>Установка с электронагревом LV-RACU 700 VER-V4-ЕСО</t>
  </si>
  <si>
    <t>Установка с электронагревом LV-RACU 1200 VEL-V4-ЕСО</t>
  </si>
  <si>
    <t>Установка с электронагревом LV-RACU 1200 VER-V4-ЕСО</t>
  </si>
  <si>
    <t>Установка с электронагревом LV-RACU 1900 VEL-V4-ЕСО</t>
  </si>
  <si>
    <t>Установка с электронагревом LV-RACU 1900 VER-V4-ЕСО</t>
  </si>
  <si>
    <t>Установка с электронагревом LV-RACU 2500 VE-V4-ЕСО</t>
  </si>
  <si>
    <t>Установка с электронагревом LV-RACU 3500 VE-V4-ECO</t>
  </si>
  <si>
    <t>Установка с электронагревом LV-RACU 5500 VE-V4-ЕСО</t>
  </si>
  <si>
    <t>Установка с водяным нагревом LV-RACU 400 VWL-V4-ЕСО ( 1 )</t>
  </si>
  <si>
    <t>Установка с водяным нагревом LV-RACU 400 VWR-V4-ЕСО ( 1 )</t>
  </si>
  <si>
    <t>Установка с водяным нагревом LV-RACU 700 VWL-V4-ЕСО ( 1 )</t>
  </si>
  <si>
    <t>Установка с водяным нагревом LV-RACU 700 VWR-V4-ЕСО ( 1 )</t>
  </si>
  <si>
    <t>Установка с водяным нагревом LV-RACU 1200 VWL-V4-ЕСО ( 1 )</t>
  </si>
  <si>
    <t>Установка с водяным нагревом LV-RACU 1200 VWR-V4-ЕСО ( 1 )</t>
  </si>
  <si>
    <t>Установка с водяным нагревом LV-RACU 1900 VWL-V4-ЕСО ( 1 )</t>
  </si>
  <si>
    <t>Установка с водяным нагревом LV-RACU 1900 VWR-V4-ЕСО ( 1 )</t>
  </si>
  <si>
    <t>Установка с водяным нагревом LV-RACU 2500 VW-V4-ЕСО ( 1 )</t>
  </si>
  <si>
    <t>Установка с водяным нагревом LV-RACU 3500 VW-V4-ЕСО ( 1 )</t>
  </si>
  <si>
    <t>Установка с водяным нагревом LV-RACU 5500 VW-V4-ЕСО ( 1 )</t>
  </si>
  <si>
    <t>http://www.lessar.com/ventilation/progressive_solutions/kompaktnye_ventagregaty_ECO/lv-racu-v-v4-eco/lv-racu-400ve-l-r-v4-eco/</t>
  </si>
  <si>
    <t>http://www.lessar.com/ventilation/progressive_solutions/kompaktnye_ventagregaty_ECO/lv-racu-v-v4-eco/lv-racu-400vw-l-r-v4-eco/</t>
  </si>
  <si>
    <t>http://www.lessar.com/ventilation/progressive_solutions/kompaktnye_ventagregaty_ECO/lv-racu-v-v4-eco/lv-racu-700ve-l-r-v4-eco/</t>
  </si>
  <si>
    <t>http://www.lessar.com/ventilation/progressive_solutions/kompaktnye_ventagregaty_ECO/lv-racu-v-v4-eco/lv-racu-700vw-l-r-v4-eco/</t>
  </si>
  <si>
    <t>http://www.lessar.com/ventilation/progressive_solutions/kompaktnye_ventagregaty_ECO/lv-racu-v-v4-eco/lv-racu-1200ve-l-r-v4-eco/</t>
  </si>
  <si>
    <t>http://www.lessar.com/ventilation/progressive_solutions/kompaktnye_ventagregaty_ECO/lv-racu-v-v4-eco/lv-racu-1200vw-l-r-v4-eco/</t>
  </si>
  <si>
    <t>http://www.lessar.com/ventilation/progressive_solutions/kompaktnye_ventagregaty_ECO/lv-racu-v-v4-eco/lv-racu-1900ve-l-r-v4-eco/</t>
  </si>
  <si>
    <t>http://www.lessar.com/ventilation/progressive_solutions/kompaktnye_ventagregaty_ECO/lv-racu-v-v4-eco/lv-racu-1900vw-l-r-v4-eco/</t>
  </si>
  <si>
    <t>http://www.lessar.com/ventilation/progressive_solutions/kompaktnye_ventagregaty_ECO/lv-racu-v-v4-eco/lv-racu-2500ve-l-r-v4-eco/</t>
  </si>
  <si>
    <t>http://www.lessar.com/ventilation/progressive_solutions/kompaktnye_ventagregaty_ECO/lv-racu-v-v4-eco/lv-racu-2500vw-l-r-v4-eco/</t>
  </si>
  <si>
    <t>http://www.lessar.com/ventilation/progressive_solutions/kompaktnye_ventagregaty_ECO/lv-racu-v-v4-eco/lv-racu-3500ve-l-r-v4-eco/</t>
  </si>
  <si>
    <t>http://www.lessar.com/ventilation/progressive_solutions/kompaktnye_ventagregaty_ECO/lv-racu-v-v4-eco/lv-racu-3500vw-l-r-v4-eco/</t>
  </si>
  <si>
    <t>http://www.lessar.com/ventilation/progressive_solutions/kompaktnye_ventagregaty_ECO/lv-racu-v-v4-eco/lv-racu-5500ve-l-r-v4-eco/</t>
  </si>
  <si>
    <t>http://www.lessar.com/ventilation/progressive_solutions/kompaktnye_ventagregaty_ECO/lv-racu-v-v4-eco/lv-racu-5500vw-l-r-v4-eco/</t>
  </si>
  <si>
    <t>Установка с электронагревом LV-RACU 400 НE-V4-ЕСО</t>
  </si>
  <si>
    <t>Установка с электронагревом LV-RACU 700 НE-V4-ЕСО</t>
  </si>
  <si>
    <t>Установка с электронагревом LV-RACU 1200 НE-V4-ЕСО</t>
  </si>
  <si>
    <t>Установка с электронагревом LV-RACU 1900 НE-V4-ЕСО</t>
  </si>
  <si>
    <t>Установка с электронагревом LV-RACU 2500 НE-V4-ЕСО</t>
  </si>
  <si>
    <t>Установка с электронагревом LV-RACU 3500 НE-V4-ЕСО</t>
  </si>
  <si>
    <t>Установка с электронагревом LV-RACU 5500 НE-V4-ЕСО</t>
  </si>
  <si>
    <t>Установка с водяным нагревом LV-RACU 400 НW-V4-ЕСО ( 1 )</t>
  </si>
  <si>
    <t>Установка с водяным нагревом LV-RACU 700 НW-V4-ЕСО ( 1 )</t>
  </si>
  <si>
    <t>Установка с водяным нагревом LV-RACU 1200 НW-V4-ЕСО ( 1 )</t>
  </si>
  <si>
    <t>Установка с водяным нагревом LV-RACU 1900 НW-V4-ЕСО ( 1 )</t>
  </si>
  <si>
    <t>Установка с водяным нагревом LV-RACU 2500 НW-V4-ЕСO ( 1 )</t>
  </si>
  <si>
    <t>Установка с водяным нагревом LV-RACU 3500 НW-V4-ЕСO ( 1 )</t>
  </si>
  <si>
    <t>Установка с водяным нагревом LV-RACU 5500 НW-V4-ЕСО ( 1 )</t>
  </si>
  <si>
    <t>http://www.lessar.com/ventilation/progressive_solutions/kompaktnye_ventagregaty_ECO/lv-racu-h-v4-eco/lv-racu-400he-v4-eco/</t>
  </si>
  <si>
    <t>http://www.lessar.com/ventilation/progressive_solutions/kompaktnye_ventagregaty_ECO/lv-racu-h-v4-eco/lv-racu-400hw-v4-eco/</t>
  </si>
  <si>
    <t>http://www.lessar.com/ventilation/progressive_solutions/kompaktnye_ventagregaty_ECO/lv-racu-h-v4-eco/lv-racu-700he-v4-eco/</t>
  </si>
  <si>
    <t>http://www.lessar.com/ventilation/progressive_solutions/kompaktnye_ventagregaty_ECO/lv-racu-h-v4-eco/lv-racu-700hw-v4-eco/</t>
  </si>
  <si>
    <t>http://www.lessar.com/ventilation/progressive_solutions/kompaktnye_ventagregaty_ECO/lv-racu-h-v4-eco/lv-racu-1200he-v4-eco/</t>
  </si>
  <si>
    <t>http://www.lessar.com/ventilation/progressive_solutions/kompaktnye_ventagregaty_ECO/lv-racu-h-v4-eco/lv-racu-1200hw-v4-eco/</t>
  </si>
  <si>
    <t>http://www.lessar.com/ventilation/progressive_solutions/kompaktnye_ventagregaty_ECO/lv-racu-h-v4-eco/lv-racu-1900he-v4-eco/</t>
  </si>
  <si>
    <t>http://www.lessar.com/ventilation/progressive_solutions/kompaktnye_ventagregaty_ECO/lv-racu-h-v4-eco/lv-racu-1900hw-v4-eco/</t>
  </si>
  <si>
    <t>http://www.lessar.com/ventilation/progressive_solutions/kompaktnye_ventagregaty_ECO/lv-racu-h-v4-eco/lv-racu-2500he-v4-eco/</t>
  </si>
  <si>
    <t>http://www.lessar.com/ventilation/progressive_solutions/kompaktnye_ventagregaty_ECO/lv-racu-h-v4-eco/lv-racu-2500hw-v4-eco/</t>
  </si>
  <si>
    <t>http://www.lessar.com/ventilation/progressive_solutions/kompaktnye_ventagregaty_ECO/lv-racu-h-v4-eco/lv-racu-3500he-v4-eco/</t>
  </si>
  <si>
    <t>http://www.lessar.com/ventilation/progressive_solutions/kompaktnye_ventagregaty_ECO/lv-racu-h-v4-eco/lv-racu-3500hw-v4-eco/</t>
  </si>
  <si>
    <t>http://www.lessar.com/ventilation/progressive_solutions/kompaktnye_ventagregaty_ECO/lv-racu-h-v4-eco/lv-racu-5500he-v4-eco/</t>
  </si>
  <si>
    <t>http://www.lessar.com/ventilation/progressive_solutions/kompaktnye_ventagregaty_ECO/lv-racu-h-v4-eco/lv-racu-5500hw-v4-eco/</t>
  </si>
  <si>
    <t>http://www.lessar.com/ventilation/aksessuary/elementy_avtomatiki/pulti_ypravleniya/knopochny_pult_flex/</t>
  </si>
  <si>
    <t>http://www.lessar.com/ventilation/aksessuary/elementy_avtomatiki/pulti_ypravleniya/sensorny_pult_stouch/</t>
  </si>
  <si>
    <t>Установка с электронагревом LV-PACU 700 HE-V4-ECO</t>
  </si>
  <si>
    <t>Установка с электронагревом LV-PACU 1200 HE-V4-ECO</t>
  </si>
  <si>
    <t>Установка с электронагревом LV-PACU 1900 HE-V4-ECO</t>
  </si>
  <si>
    <t>Установка с электронагревом LV-PACU 2500 HER-V4-ECO</t>
  </si>
  <si>
    <t>Установка с электронагревом LV-PACU 3500 HEL-V4-ECO</t>
  </si>
  <si>
    <t>Установка с электронагревом LV-PACU 5500 HER-V4-ECO</t>
  </si>
  <si>
    <t xml:space="preserve">Установка с водяным нагревом LV-PACU 700 HW-V4-ECO ( 1 ) </t>
  </si>
  <si>
    <t xml:space="preserve">Установка с водяным нагревом LV-PACU 1200 HW-V4-ECO ( 1 ) </t>
  </si>
  <si>
    <t xml:space="preserve">Установка с водяным нагревом LV-PACU 1900 HW-V4-ECO ( 1 ) </t>
  </si>
  <si>
    <t xml:space="preserve">Установка с водяным нагревом LV-PACU 2500 HWR-V4-ECO ( 1 ) </t>
  </si>
  <si>
    <t xml:space="preserve">Установка с водяным нагревом LV-PACU 3500 HWL-V4-ECO ( 1 ) </t>
  </si>
  <si>
    <t xml:space="preserve">Установка с водяным нагревом LV-PACU 5500 HWR-V4-ECO ( 1 ) </t>
  </si>
  <si>
    <t>http://www.lessar.com/ventilation/progressive_solutions/kompaktnye_ventagregaty_ECO/lv-pacu-h-v4-eco/lv-pacu-700he-v4-eco/</t>
  </si>
  <si>
    <t>http://www.lessar.com/ventilation/progressive_solutions/kompaktnye_ventagregaty_ECO/lv-pacu-h-v4-eco/lv-pacu-700hw-v4-eco/</t>
  </si>
  <si>
    <t>http://www.lessar.com/ventilation/progressive_solutions/kompaktnye_ventagregaty_ECO/lv-pacu-h-v4-eco/lv-pacu-1200he-v4-eco/</t>
  </si>
  <si>
    <t>http://www.lessar.com/ventilation/progressive_solutions/kompaktnye_ventagregaty_ECO/lv-pacu-h-v4-eco/lv-pacu-1200hw-v4-eco/</t>
  </si>
  <si>
    <t>http://www.lessar.com/ventilation/progressive_solutions/kompaktnye_ventagregaty_ECO/lv-pacu-h-v4-eco/lv-pacu-1900he-v4-eco/</t>
  </si>
  <si>
    <t>http://www.lessar.com/ventilation/progressive_solutions/kompaktnye_ventagregaty_ECO/lv-pacu-h-v4-eco/lv-pacu-1900hw-v4-eco/</t>
  </si>
  <si>
    <t>http://www.lessar.com/ventilation/progressive_solutions/kompaktnye_ventagregaty_ECO/lv-pacu-h-v4-eco/lv-pacu-2500her-v4-eco/</t>
  </si>
  <si>
    <t>http://www.lessar.com/ventilation/progressive_solutions/kompaktnye_ventagregaty_ECO/lv-pacu-h-v4-eco/lv-pacu-2500hwr-v4-eco/</t>
  </si>
  <si>
    <t>http://www.lessar.com/ventilation/progressive_solutions/kompaktnye_ventagregaty_ECO/lv-pacu-h-v4-eco/lv-pacu-3500hel-v4-eco/</t>
  </si>
  <si>
    <t>http://www.lessar.com/ventilation/progressive_solutions/kompaktnye_ventagregaty_ECO/lv-pacu-h-v4-eco/lv-pacu-3500hwl-v4-eco/</t>
  </si>
  <si>
    <t>http://www.lessar.com/ventilation/progressive_solutions/kompaktnye_ventagregaty_ECO/lv-pacu-h-v4-eco/lv-pacu-5500her-v4-eco/</t>
  </si>
  <si>
    <t>http://www.lessar.com/ventilation/progressive_solutions/kompaktnye_ventagregaty_ECO/lv-pacu-h-v4-eco/lv-pacu-5500hwr-v4-eco/</t>
  </si>
  <si>
    <t>►Клапаны обратные типа "бабочка" (круглые)</t>
  </si>
  <si>
    <t>► для прямоугольных каналов с подогревом</t>
  </si>
  <si>
    <t>► для прямоугольных каналов утепленные с подогревом</t>
  </si>
  <si>
    <t>► короб крышный для вентиляторов  LV-FRCV/FRCH E16 (стакан монтажный без шумоглушителя). Обратный клапан. Для скатной кровли</t>
  </si>
  <si>
    <t>► короб крышный для вентиляторов  LV-FRCV/FRCH E16 (стакан монтажный без шумоглушителя). Без клапана. Для скатной кровли</t>
  </si>
  <si>
    <t>► короб крышный для вентиляторов  LV-FRCV/FRCH E16 (стакан монтажный без шумоглушителя). Клапан под привод. Для скатной кровли</t>
  </si>
  <si>
    <t>► короб крышный для вентиляторов  LV-FRCV/FRCH E16 (стакан монтажный без шумоглушителя). Без клапана. Для плоской кровли</t>
  </si>
  <si>
    <t>► короб крышный для вентиляторов  LV-FRCV/FRCH E16 (стакан монтажный без шумоглушителя). Обратный клапан. Для плоской кровли</t>
  </si>
  <si>
    <t>► короб крышный для вентиляторов  LV-FRCV/FRCH E16 (стакан монтажный без шумоглушителя). Клапан под привод. Для плоской кровли</t>
  </si>
  <si>
    <t>► короб крышный для вентиляторов  LV-FRCV/FRCH E16 (стакан монтажный с шумоглушителем). Без клапана. Для скатной кровли</t>
  </si>
  <si>
    <t>► короб крышный для вентиляторов  LV-FRCV/FRCH E16 (стакан монтажный с шумоглушителем). Обратный клапан. Для скатной кровли</t>
  </si>
  <si>
    <t>► короб крышный для вентиляторов  LV-FRCV/FRCH E16 (стакан монтажный с шумоглушителем). Клапан под привод. Для скатной кровли</t>
  </si>
  <si>
    <t>► короб крышный для вентиляторов  LV-FRCV/FRCH E16 (стакан монтажный с шумоглушителем). Без клапана. Для плоской кровли</t>
  </si>
  <si>
    <t>► короб крышный для вентиляторов  LV-FRCV/FRCH E16 (стакан монтажный с шумоглушителем). Обратный клапан. Для плоской кровли</t>
  </si>
  <si>
    <t>► короб крышный для вентиляторов  LV-FRCV/FRCH E16 (стакан монтажный с шумоглушителем). Клапан под привод. Для плоской кровли</t>
  </si>
  <si>
    <t xml:space="preserve"> </t>
  </si>
  <si>
    <t>БРЦ 
USD</t>
  </si>
  <si>
    <t>Вентиляционная установка с пластинчатым рекуператором LV-PACU-250-P-AC-E50</t>
  </si>
  <si>
    <t>Вентиляционная установка с пластинчатым рекуператором LV-PACU-400-P-AC-E50</t>
  </si>
  <si>
    <t>Вентиляционная установка с пластинчатым рекуператором LV-PACU-600-P-AC-E50</t>
  </si>
  <si>
    <t>Вентиляционная установка с пластинчатым рекуператором LV-PACU-800-P-AC-E50</t>
  </si>
  <si>
    <t>Вентиляционная установка с пластинчатым рекуператором LV-PACU-1000-P-AC-E50</t>
  </si>
  <si>
    <t>Вентиляционная установка с пластинчатым рекуператором LV-PACU-1200-P-AC-E50</t>
  </si>
  <si>
    <t>Вентилятор прямоугольный канальный LV-FDTA 600x300-4-1 E16</t>
  </si>
  <si>
    <t>Вентилятор прямоугольный канальный LV-FDTA 600x300-4-3 E16</t>
  </si>
  <si>
    <t>Вентилятор прямоугольный канальный LV-FDTA 600x350-4-3 E16</t>
  </si>
  <si>
    <t>Вентилятор прямоугольный канальный LV-FDTA 700x400-4-3 E16</t>
  </si>
  <si>
    <t>Вентилятор прямоугольный канальный LV-FDTA 800x500-4-3 E16</t>
  </si>
  <si>
    <t>Вентилятор прямоугольный канальный LV-FDTB 400x200-2-1 E16</t>
  </si>
  <si>
    <t>Вентилятор прямоугольный канальный LV-FDTB 500x250-2-1 E16</t>
  </si>
  <si>
    <t>Вентилятор прямоугольный канальный LV-FDTB 500x300-2-1 E16</t>
  </si>
  <si>
    <t>Вентилятор прямоугольный канальный LV-FDTC 500x250-2-3 E16</t>
  </si>
  <si>
    <t>Вентилятор прямоугольный канальный LV-FDTC 500x300-2-3 E16</t>
  </si>
  <si>
    <t>Вентилятор прямоугольный канальный LV-FDTC 600x300-2-3 E16</t>
  </si>
  <si>
    <t>Вентилятор прямоугольный канальный LV-FDTC 600x300-M-2-3 E16</t>
  </si>
  <si>
    <t>Вентилятор прямоугольный канальный LV-FDTC 600x350-2-3 E16</t>
  </si>
  <si>
    <t>Вентилятор прямоугольный канальный LV-FDTC 600x350-M-2-3 E16</t>
  </si>
  <si>
    <t>Вентилятор прямоугольный канальный LV-FDTC 700x400-2-3 E16</t>
  </si>
  <si>
    <t>Вентилятор прямоугольный канальный LV-FDTC 700x400-S-2-3 E16</t>
  </si>
  <si>
    <t>Вентилятор прямоугольный канальный LV-FDTC 800x500-2-3 E16</t>
  </si>
  <si>
    <t>Вентилятор прямоугольный канальный LV-FDTC 900x500-2-3 E16</t>
  </si>
  <si>
    <t>Вентилятор прямоугольный канальный LV-FDTC 900x500-S-2-3 E16</t>
  </si>
  <si>
    <t>Вентилятор прямоугольный канальный LV-FDTC 1000x500-2-3 E16</t>
  </si>
  <si>
    <t>Вентилятор шумоизолированный LV-FDTS 500x250-2-3 E16</t>
  </si>
  <si>
    <t>Вентилятор шумоизолированный LV-FDTS 700x400-S-2-3 E16</t>
  </si>
  <si>
    <t>Вентилятор шумоизолированный LV-FDTS 900x500-S-2-3 E16</t>
  </si>
  <si>
    <t>Вентилятор кухонный кубический LV-FKQ 355-4-3 E16</t>
  </si>
  <si>
    <t>Вентилятор кухонный LV-FKQ 400-4-3 E16</t>
  </si>
  <si>
    <t>Вентилятор кухонный кубический LV-FKQ 560-6-3 E16</t>
  </si>
  <si>
    <t>Вентилятор кухонный кубический LV-FKQ 630-6-3 E16</t>
  </si>
  <si>
    <t>Вентилятор кухонный кубический LV-FKQ 710-6-3 E16</t>
  </si>
  <si>
    <t>Вентилятор кухонный кубический LV-FKQ 710-8-3 E16</t>
  </si>
  <si>
    <t>Вентилятор крышный LV-FRCV 630-6-3 E16</t>
  </si>
  <si>
    <t>Вентилятор крышный LV-FRCH 250-2-3 E16</t>
  </si>
  <si>
    <t>Вентилятор крышный LV-FRCH 280-2-3 E16</t>
  </si>
  <si>
    <t>Вентилятор крышный LV-FRCH 311-2-3 E16</t>
  </si>
  <si>
    <t>Вентилятор крышный LV-FRCH 355-2-3 E16</t>
  </si>
  <si>
    <t>Вентилятор крышный LV-FRCH 355-4-3 E16</t>
  </si>
  <si>
    <t>Вентилятор крышный LV-FRCH 400-2-3 E16</t>
  </si>
  <si>
    <t>Вентилятор крышный LV-FRCH 400-4-3 E16</t>
  </si>
  <si>
    <t>Вентилятор крышный LV-FRCH 450-2-3 E16</t>
  </si>
  <si>
    <t>Вентилятор крышный LV-FRCH 450-4-3 E16</t>
  </si>
  <si>
    <t>Вентилятор крышный LV-FRCH 500-4-3 E16</t>
  </si>
  <si>
    <t>Вентилятор крышный LV-FRCH 560-4-3 E16</t>
  </si>
  <si>
    <t>Вентилятор крышный LV-FRCH 560-6-3 E16</t>
  </si>
  <si>
    <t>Вентилятор крышный LV-FRCH 630-4-3 E16</t>
  </si>
  <si>
    <t>Вентилятор крышный LV-FRCH 710-4-3 E16</t>
  </si>
  <si>
    <t>Вентилятор крышный LV-FRCH 710-6-3 E16</t>
  </si>
  <si>
    <t>Вентилятор крышный LV-FRCH 710-8-3 E16</t>
  </si>
  <si>
    <t>Вентилятор крышный LV-FRCH 800-4-3 E16</t>
  </si>
  <si>
    <t>Вентилятор крышный LV-FRCH 800-6-3 E16</t>
  </si>
  <si>
    <t>Вентилятор крышный LV-FRCH 900-4-3 E16</t>
  </si>
  <si>
    <t>Вентилятор крышный LV-FRCH 900-6-3 E16</t>
  </si>
  <si>
    <t>Вентилятор крышный LV-FRCH 900-8-3 E16</t>
  </si>
  <si>
    <t>Вентилятор крышный LV-FRCH 1000-6-3 E16</t>
  </si>
  <si>
    <t>Вентилятор крышный LV-FRCH 1000-8-3 E16</t>
  </si>
  <si>
    <t>Хомут быстросъемный LV-MDC 100 E16</t>
  </si>
  <si>
    <t>Хомут быстросъемный LV-MDC 125 E16</t>
  </si>
  <si>
    <t>Хомут быстросъемный LV-MDC 160 E16</t>
  </si>
  <si>
    <t>Хомут быстросъемный LV-MDC 200 E16</t>
  </si>
  <si>
    <t>Хомут быстросъемный LV-MDC 250 E16</t>
  </si>
  <si>
    <t>Хомут быстросъемный LV-MDC 315 E16</t>
  </si>
  <si>
    <t>Вставка гибкая LV-WDQA 280 E16 (вход воздуха)</t>
  </si>
  <si>
    <t>Гибкая вставка LV-WDQA 311 E16 (вход воздуха)</t>
  </si>
  <si>
    <t>Гибкая вставка LV-WDQA 355 E16 (вход воздуха)</t>
  </si>
  <si>
    <t>Вставка гибкая LV-WDQA 450 E16 (вход воздуха)</t>
  </si>
  <si>
    <t>Вставка гибкая LV-WDQA 630 E16 (вход воздуха)</t>
  </si>
  <si>
    <t>Вставка гибкая LV-WDQA 710 E16 (вход воздуха)</t>
  </si>
  <si>
    <t>Вставка гибкая LV-WDQB 280 E16 (выход воздуха)</t>
  </si>
  <si>
    <t>Вставка гибкая LV-WDQB 311 E16 (выход воздуха)</t>
  </si>
  <si>
    <t>Гибкая вставка LV-WDQB 355 E16 (выход воздуха)</t>
  </si>
  <si>
    <t>Вставка гибкая LV-WDQB 450 E16 (выход воздуха)</t>
  </si>
  <si>
    <t>Вставка гибкая LV-WDQB 630 E16 (выход воздуха)</t>
  </si>
  <si>
    <t>Вставка гибкая LV-WDQB 710 E16 (выход воздуха)</t>
  </si>
  <si>
    <t>Короб крышный LV-ZRn 250/280/311-2 E16</t>
  </si>
  <si>
    <t>Короб крышный LV-ZRn 355/400/450-2 E16</t>
  </si>
  <si>
    <t>Короб крышный LV-ZRn 500/560-2 E16</t>
  </si>
  <si>
    <t>Короб крышный LV-ZRn 630/710-2 E16</t>
  </si>
  <si>
    <t>Короб крышный LV-ZRn 800/900/1000-2 E16</t>
  </si>
  <si>
    <t>Короб крышный LV-ZRn 250/280/311-T-2 E16</t>
  </si>
  <si>
    <t>Короб крышный LV-ZRn 355/400/450-T-2 E16</t>
  </si>
  <si>
    <t>Короб крышный LV-ZRn 500/560-T-2 E16</t>
  </si>
  <si>
    <t>Короб крышный LV-ZRn 630/710-T-2 E16</t>
  </si>
  <si>
    <t>Короб крышный LV-ZRn 800/900/1000-T-2 E16</t>
  </si>
  <si>
    <t>Короб крышный LV-ZRn 250/280/311-M-2 E16</t>
  </si>
  <si>
    <t>Короб крышный LV-ZRn 355/400/450-M-2 E16</t>
  </si>
  <si>
    <t>Короб крышный LV-ZRn 500/560-M-2 E16</t>
  </si>
  <si>
    <t>Короб крышный LV-ZRn 630/710-M-2 E16</t>
  </si>
  <si>
    <t>Короб крышный LV-ZRn 800/900/1000-M-2 E16</t>
  </si>
  <si>
    <t>Короб крышный LV-ZRn 250/280/311-4 E16</t>
  </si>
  <si>
    <t>Короб крышный LV-ZRn 355/400/450-4 E16</t>
  </si>
  <si>
    <t>Короб крышный LV-ZRn 500/560-4 E16</t>
  </si>
  <si>
    <t>Короб крышный LV-ZRn 630/710-4 E16</t>
  </si>
  <si>
    <t>Короб крышный LV-ZRn 800/900/1000-4 E16</t>
  </si>
  <si>
    <t>Короб крышный LV-ZRn 250/280/311-T-4 E16</t>
  </si>
  <si>
    <t>Короб крышный LV-ZRn 355/400/450-T-4 E16</t>
  </si>
  <si>
    <t>Короб крышный LV-ZRn 500/560-T-4 E16</t>
  </si>
  <si>
    <t>Короб крышный LV-ZRn 630/710-T-4 E16</t>
  </si>
  <si>
    <t>Короб крышный LV-ZRn 800/900/1000-T-4 E16</t>
  </si>
  <si>
    <t>Короб крышный LV-ZRn 250/280/311-M-4 E16</t>
  </si>
  <si>
    <t>Короб крышный LV-ZRn 355/400/450-M-4 E16</t>
  </si>
  <si>
    <t>Короб крышный LV-ZRn 500/560-M-4 E16</t>
  </si>
  <si>
    <t>Короб крышный LV-ZRn 630/710-M-4 E16</t>
  </si>
  <si>
    <t>Короб крышный LV-ZRn 800/900/1000-M-4 E16</t>
  </si>
  <si>
    <t>Короб крышный LV-ZRSn 250/280/311-2 E16</t>
  </si>
  <si>
    <t>Короб крышный LV-ZRSn 355/400/450-2 E16</t>
  </si>
  <si>
    <t>Короб крышный LV-ZRSn 500/560-2 E16</t>
  </si>
  <si>
    <t>Короб крышный LV-ZRSn 630/710-2 E16</t>
  </si>
  <si>
    <t>Короб крышный LV-ZRSn 800/900/1000-2 E16</t>
  </si>
  <si>
    <t>Короб крышный LV-ZRSn 250/280/311-T-2 E16</t>
  </si>
  <si>
    <t>Короб крышный LV-ZRSn 355/400/450-T-2 E16</t>
  </si>
  <si>
    <t>Короб крышный LV-ZRSn 500/560-T-2 E16</t>
  </si>
  <si>
    <t>Короб крышный LV-ZRSn 630/710-T-2 E16</t>
  </si>
  <si>
    <t>Короб крышный LV-ZRSn 800/900/1000-T-2 E16</t>
  </si>
  <si>
    <t>Короб крышный LV-ZRSn 250/280/311-M-2 E16</t>
  </si>
  <si>
    <t>Короб крышный LV-ZRSn 355/400/450-M-2 E16</t>
  </si>
  <si>
    <t>Короб крышный LV-ZRSn 500/560-M-2 E16</t>
  </si>
  <si>
    <t>Короб крышный LV-ZRSn 630/710-M-2 E16</t>
  </si>
  <si>
    <t>Короб крышный LV-ZRSn 800/900/1000-M-2 E16</t>
  </si>
  <si>
    <t>Короб крышный LV-ZRSn 250/280/311-4 E16</t>
  </si>
  <si>
    <t>Короб крышный LV-ZRSn 355/400/450-4 E16</t>
  </si>
  <si>
    <t>Короб крышный LV-ZRSn 500/560-4 E16</t>
  </si>
  <si>
    <t>Короб крышный LV-ZRSn 630/710-4 E16</t>
  </si>
  <si>
    <t>Короб крышный LV-ZRSn 800/900/1000-4 E16</t>
  </si>
  <si>
    <t>Короб крышный LV-ZRSn 250/280/311-T-4 E16</t>
  </si>
  <si>
    <t>Короб крышный LV-ZRSn 355/400/450-T-4 E16</t>
  </si>
  <si>
    <t>Короб крышный LV-ZRSn 500/560-T-4 E16</t>
  </si>
  <si>
    <t>Короб крышный LV-ZRSn 630/710-T-4 E16</t>
  </si>
  <si>
    <t>Короб крышный LV-ZRSn 800/900/1000-T-4 E16</t>
  </si>
  <si>
    <t>Короб крышный LV-ZRSn 250/280/311-M-4 E16</t>
  </si>
  <si>
    <t>Короб крышный LV-ZRSn 355/400/450-M-4 E16</t>
  </si>
  <si>
    <t>Короб крышный LV-ZRSn 500/560-M-4 E16</t>
  </si>
  <si>
    <t>Короб крышный LV-ZRSn 630/710-M-4 E16</t>
  </si>
  <si>
    <t>Короб крышный LV-ZRSn 800/900/1000-M-4 E16</t>
  </si>
  <si>
    <t>Нагреватель электрический LV-HDTE-PD 400x200-16-3 E16</t>
  </si>
  <si>
    <t>Нагреватель электрический LV-HDTE-PD 400x200-24-3 E16</t>
  </si>
  <si>
    <t>Нагреватель электрический LV-HDTE-PD 400x200-8-3 E16</t>
  </si>
  <si>
    <t>Нагреватель электрический LV-HDTE-PD 500x250-16-3 E16</t>
  </si>
  <si>
    <t>Нагреватель электрический LV-HDTE-PD 500x250-24-3 E16</t>
  </si>
  <si>
    <t>Нагреватель электрический LV-HDTE-PD 500x250-32-3 E16</t>
  </si>
  <si>
    <t>Нагреватель электрический LV-HDTE-PD 500x250-8-3 E16</t>
  </si>
  <si>
    <t>Нагреватель электрический LV-HDTE-PD 500x300-12-3 E16</t>
  </si>
  <si>
    <t>Нагреватель электрический LV-HDTE-PD 500x300-24-3 E16</t>
  </si>
  <si>
    <t>Нагреватель электрический LV-HDTE-PD 500x300-36-3 E16</t>
  </si>
  <si>
    <t>Нагреватель электрический LV-HDTE-PD 500x300-48-3 E16</t>
  </si>
  <si>
    <t>Нагреватель электрический LV-HDTE-PD 600x300-12-3 E16</t>
  </si>
  <si>
    <t>Нагреватель электрический LV-HDTE-PD 600x300-24-3 E16</t>
  </si>
  <si>
    <t>Нагреватель электрический LV-HDTE-PD 600x300-36-3 E16</t>
  </si>
  <si>
    <t>Нагреватель электрический LV-HDTE-PD 600x300-48-3 E16</t>
  </si>
  <si>
    <t>Нагреватель электрический LV-HDTE-PD 600x350-12-3 E16</t>
  </si>
  <si>
    <t>Нагреватель электрический LV-HDTE-PD 600x350-24-3 E16</t>
  </si>
  <si>
    <t>Нагреватель электрический LV-HDTE-PD 600x350-36-3 E16</t>
  </si>
  <si>
    <t>Нагреватель электрический LV-HDTE-PD 600x350-48-3 E16</t>
  </si>
  <si>
    <t>Нагреватель электрический LV-HDTE-PD 700x400-16-3 E16</t>
  </si>
  <si>
    <t>Нагреватель электрический LV-HDTE-PD 700x400-32-3 E16</t>
  </si>
  <si>
    <t>Нагреватель электрический LV-HDTE-PD 700x400-48-3 E16</t>
  </si>
  <si>
    <t>Нагреватель электрический LV-HDTE-PD 700x400-64-3 E16</t>
  </si>
  <si>
    <t>Нагреватель электрический LV-HDTE-PD 800x500-16-3 E16</t>
  </si>
  <si>
    <t>Нагреватель электрический LV-HDTE-PD 800x500-32-3 E16</t>
  </si>
  <si>
    <t>Нагреватель электрический LV-HDTE-PD 800x500-48-3 E16</t>
  </si>
  <si>
    <t>Нагреватель электрический LV-HDTE-PD 800x500-64-3 E16</t>
  </si>
  <si>
    <t>Нагреватель электрический LV-HDTE-PD 900x500-16-3 E16</t>
  </si>
  <si>
    <t>Нагреватель электрический LV-HDTE-PD 900x500-32-3 E16</t>
  </si>
  <si>
    <t>Нагреватель электрический LV-HDTE-PD 900x500-48-3 E16</t>
  </si>
  <si>
    <t>Нагреватель электрический LV-HDTE-PD 900x500-64-3 E16</t>
  </si>
  <si>
    <t>Нагреватель электрический LV-HDTE-PD 1000x500-16-3 E16</t>
  </si>
  <si>
    <t>Нагреватель электрический LV-HDTE-PD 1000x500-32-3 E16</t>
  </si>
  <si>
    <t>Нагреватель электрический LV-HDTE-PD 1000x500-48-3 E16</t>
  </si>
  <si>
    <t>Нагреватель электрический LV-HDTE-PD 1000x500-64-3 E16</t>
  </si>
  <si>
    <t>► для круглых каналов водяные</t>
  </si>
  <si>
    <t>Нагреватель водяной LV-HDTW 400x200-1 E16</t>
  </si>
  <si>
    <t>Нагреватель водяной LV-HDTW 500x250-1 E16</t>
  </si>
  <si>
    <t>Нагреватель водяной LV-HDTW 500x300-1 E16</t>
  </si>
  <si>
    <t>Нагреватель водяной LV-HDTW 600x300-1 E16</t>
  </si>
  <si>
    <t>Нагреватель водяной LV-HDTW 600x350-1 E16</t>
  </si>
  <si>
    <t>Нагреватель водяной LV-HDTW 700x400-1 E16</t>
  </si>
  <si>
    <t>Нагреватель водяной LV-HDTW 800x500-1 E16</t>
  </si>
  <si>
    <t>Нагреватель водяной LV-HDTW 900x500-1 E16</t>
  </si>
  <si>
    <t>Нагреватель водяной LV-HDTW 1000x500-1 E16</t>
  </si>
  <si>
    <t>Нагреватель водяной LV-HDTW 1000x500-21 E16</t>
  </si>
  <si>
    <t>Нагреватель водяной LV-HDTW 400x200-21 E16</t>
  </si>
  <si>
    <t>Нагреватель водяной LV-HDTW 500x250-21 E16</t>
  </si>
  <si>
    <t>Нагреватель водяной LV-HDTW 500x300-21 E16</t>
  </si>
  <si>
    <t>Нагреватель водяной LV-HDTW 600x300-21 E16</t>
  </si>
  <si>
    <t>Нагреватель водяной LV-HDTW 600x350-21 E16</t>
  </si>
  <si>
    <t>Нагреватель водяной LV-HDTW 700x400-21 E16</t>
  </si>
  <si>
    <t>Нагреватель водяной LV-HDTW 800x500-21 E16</t>
  </si>
  <si>
    <t>Нагреватель водяной LV-HDTW 900x500-21 E16</t>
  </si>
  <si>
    <t>Нагреватель водяной LV-HDTW 400x200-4 E16</t>
  </si>
  <si>
    <t>Нагреватель водяной LV-HDTW 500x250-4 E16</t>
  </si>
  <si>
    <t>Нагреватель водяной LV-HDTW 500x300-4 E16</t>
  </si>
  <si>
    <t>Нагреватель водяной LV-HDTW 600x300-4 E16</t>
  </si>
  <si>
    <t>Нагреватель водяной LV-HDTW 600x350-4 E16</t>
  </si>
  <si>
    <t>Нагреватель водяной LV-HDTW 700x400-4 E16</t>
  </si>
  <si>
    <t>Нагреватель водяной LV-HDTW 800x500-4 E16</t>
  </si>
  <si>
    <t>Нагреватель водяной LV-HDTW 900x500-4 E16</t>
  </si>
  <si>
    <t>Нагреватель водяной LV-HDTW 1000x500-4 E16</t>
  </si>
  <si>
    <t>Охладитель водяной LV-CDTW 400x200-23 E16</t>
  </si>
  <si>
    <t>Охладитель водяной LV-CDTW 500x250-23 E16</t>
  </si>
  <si>
    <t>Охладитель водяной LV-CDTW 500x300-23 E16</t>
  </si>
  <si>
    <t>Охладитель водяной LV-CDTW 600x300-23 E16</t>
  </si>
  <si>
    <t>Охладитель водяной LV-CDTW 600x350-23 E16</t>
  </si>
  <si>
    <t>Охладитель водяной LV-CDTW 700x400-23 E16</t>
  </si>
  <si>
    <t>Охладитель водяной LV-CDTW 800x500-23 E16</t>
  </si>
  <si>
    <t>Охладитель водяной LV-CDTW 900x500-23 E16</t>
  </si>
  <si>
    <t>Охладитель водяной LV-CDTW 1000x500-23 E16</t>
  </si>
  <si>
    <t>Охладитель водяной LV-CDTW 1000x500-24 E16</t>
  </si>
  <si>
    <t>Охладитель водяной LV-CDTW 400x200-24 E16</t>
  </si>
  <si>
    <t>Охладитель водяной LV-CDTW 500x250-24 E16</t>
  </si>
  <si>
    <t>Охладитель водяной LV-CDTW 500x300-24 E16</t>
  </si>
  <si>
    <t>Охладитель водяной LV-CDTW 600x300-24 E16</t>
  </si>
  <si>
    <t>Охладитель водяной LV-CDTW 600x350-24 E16</t>
  </si>
  <si>
    <t>Охладитель водяной LV-CDTW 700x400-24 E16</t>
  </si>
  <si>
    <t>Охладитель водяной LV-CDTW 800x500-24 E16</t>
  </si>
  <si>
    <t>Охладитель водяной LV-CDTW 900x500-24 E16</t>
  </si>
  <si>
    <t>Охладитель водяной LV-CDTW 1000x500-4 E16</t>
  </si>
  <si>
    <t>Охладитель водяной LV-CDTW 400x200-4 E16</t>
  </si>
  <si>
    <t>Охладитель водяной LV-CDTW 500x250-4 E16</t>
  </si>
  <si>
    <t>Охладитель водяной LV-CDTW 500x300-4 E16</t>
  </si>
  <si>
    <t>Охладитель водяной LV-CDTW 600x300-4 E16</t>
  </si>
  <si>
    <t>Охладитель водяной LV-CDTW 600x350-4 E16</t>
  </si>
  <si>
    <t>Охладитель водяной LV-CDTW 700x400-4 E16</t>
  </si>
  <si>
    <t>Охладитель водяной LV-CDTW 800x500-4 E16</t>
  </si>
  <si>
    <t>Охладитель водяной LV-CDTW 900x500-4 E16</t>
  </si>
  <si>
    <t>Охладитель фреоновый LV-CDTF 400x200-24 E16</t>
  </si>
  <si>
    <t>Охладитель фреоновый LV-CDTF 500x250-24 E16</t>
  </si>
  <si>
    <t>Охладитель фреоновый LV-CDTF 500x300-24 E16</t>
  </si>
  <si>
    <t>Охладитель фреоновый LV-CDTF 600x300-24 E16</t>
  </si>
  <si>
    <t>Охладитель фреоновый LV-CDTF 600x350-24 E16</t>
  </si>
  <si>
    <t>Охладитель фреоновый LV-CDTF 700x400-24 E16</t>
  </si>
  <si>
    <t>Охладитель фреоновый LV-CDTF 800x500-24 E16</t>
  </si>
  <si>
    <t>Охладитель фреоновый LV-CDTF 900x500-24 E16</t>
  </si>
  <si>
    <t>Охладитель фреоновый LV-CDTF 1000x500-24 E16</t>
  </si>
  <si>
    <t>Охладитель фреоновый LV-CDTF 400x200-23 E16</t>
  </si>
  <si>
    <t>Охладитель фреоновый LV-CDTF 500x250-23 E16</t>
  </si>
  <si>
    <t>Охладитель фреоновый LV-CDTF 500x300-23 E16</t>
  </si>
  <si>
    <t>Охладитель фреоновый LV-CDTF 600x300-23 E16</t>
  </si>
  <si>
    <t>Охладитель фреоновый LV-CDTF 600x350-23 E16</t>
  </si>
  <si>
    <t>Охладитель фреоновый LV-CDTF 700x400-23 E16</t>
  </si>
  <si>
    <t>Охладитель фреоновый LV-CDTF 800x500-23 E16</t>
  </si>
  <si>
    <t>Охладитель фреоновый LV-CDTF 900x500-23 E16</t>
  </si>
  <si>
    <t>Охладитель фреоновый LV-CDTF 1000x500-23 E16</t>
  </si>
  <si>
    <t>Охладитель фреоновый LV-CDTF 900x500-3 E16</t>
  </si>
  <si>
    <t>Охладитель фреоновый LV-CDTF 400x200-4 E16</t>
  </si>
  <si>
    <t>Охладитель фреоновый LV-CDTF 500x250-4 E16</t>
  </si>
  <si>
    <t>Охладитель фреоновый LV-CDTF 500x300-4 E16</t>
  </si>
  <si>
    <t>Охладитель фреоновый LV-CDTF 600x300-4 E16</t>
  </si>
  <si>
    <t>Охладитель фреоновый LV-CDTF 600x350-4 E16</t>
  </si>
  <si>
    <t>Охладитель фреоновый LV-CDTF 700x400-4 E16</t>
  </si>
  <si>
    <t>Охладитель фреоновый LV-CDTF 800x500-4 E16</t>
  </si>
  <si>
    <t>Охладитель фреоновый LV-CDTF 900x500-4 E16</t>
  </si>
  <si>
    <t>Охладитель фреоновый LV-CDTF 1000x500-4 E16</t>
  </si>
  <si>
    <t>Фильтр-вставка LV-JK 100-3 E16</t>
  </si>
  <si>
    <t>Фильтр-вставка LV-JK 125-3 E16</t>
  </si>
  <si>
    <t>Фильтр-вставка LV-JK 160-3 E16</t>
  </si>
  <si>
    <t>Фильтр-вставка LV-JK 200-3 E16</t>
  </si>
  <si>
    <t>Фильтр-вставка LV-JK 250-3 E16</t>
  </si>
  <si>
    <t>Фильтр-вставка LV-JK 315-3 E16</t>
  </si>
  <si>
    <t>Вставка фильтрационная LV-JK 400x200-4 E16</t>
  </si>
  <si>
    <t>Вставка фильтрационная LV-JK 500x250-4 E16</t>
  </si>
  <si>
    <t>Вставка фильтрационная LV-JK 500x300-4 E16</t>
  </si>
  <si>
    <t>Вставка фильтрационная LV-JK 600x300-4 E16</t>
  </si>
  <si>
    <t>Вставка фильтрационная LV-JK 600x350-4 E16</t>
  </si>
  <si>
    <t>Вставка фильтрационная LV-JK 700x400-4 E16</t>
  </si>
  <si>
    <t>Вставка фильтрационная LV-JK 800x500-4 E16</t>
  </si>
  <si>
    <t>Вставка фильтрационная LV-JK 900x500-4 E16</t>
  </si>
  <si>
    <t>Вставка фильтрационная LV-JK 1000x500-4 E16</t>
  </si>
  <si>
    <t>Вставка фильтрационная LV-JK 400x200-5 E16</t>
  </si>
  <si>
    <t>Вставка фильтрационная LV-JK 500x250-5 E16</t>
  </si>
  <si>
    <t>Вставка фильтрационная LV-JK 500x300-5 E16</t>
  </si>
  <si>
    <t>Вставка фильтрационная LV-JK 600x300-5 E16</t>
  </si>
  <si>
    <t>Вставка фильтрационная LV-JK 600x350-5 E16</t>
  </si>
  <si>
    <t>Вставка фильтрационная LV-JK 700x400-5 E16</t>
  </si>
  <si>
    <t>Вставка фильтрационная LV-JK 800x500-5 E16</t>
  </si>
  <si>
    <t>Вставка фильтрационная LV-JK 900x500-5 E16</t>
  </si>
  <si>
    <t>Вставка фильтрационная LV-JK 1000x500-5 E16</t>
  </si>
  <si>
    <t>Вставка фильтрационная LV-JK 400x200-7 E16</t>
  </si>
  <si>
    <t>Вставка фильтрационная LV-JK 500x250-7 E16</t>
  </si>
  <si>
    <t>Вставка фильтрационная LV-JK 500x300-7 E16</t>
  </si>
  <si>
    <t>Вставка фильтрационная LV-JK 600x300-7 E16</t>
  </si>
  <si>
    <t>Вставка фильтрационная LV-JK 600x350-7 E16</t>
  </si>
  <si>
    <t>Вставка фильтрационная LV-JK 700x400-7 E16</t>
  </si>
  <si>
    <t>Вставка фильтрационная LV-JK 800x500-7 E16</t>
  </si>
  <si>
    <t>Вставка фильтрационная LV-JK 900x500-7 E16</t>
  </si>
  <si>
    <t>Вставка фильтрационная LV-JK 1000x500-7 E16</t>
  </si>
  <si>
    <t>Вставка фильтрационная LV-JK 400x200-9 E16</t>
  </si>
  <si>
    <t>Вставка фильтрационная LV-JK 500x250-9 E16</t>
  </si>
  <si>
    <t>Вставка фильтрационная LV-JK 500x300-9 E16</t>
  </si>
  <si>
    <t>Вставка фильтрационная LV-JK 600x300-9 E16</t>
  </si>
  <si>
    <t>Вставка фильтрационная LV-JK 600x350-9 E16</t>
  </si>
  <si>
    <t>Вставка фильтрационная LV-JK 700x400-9 E16</t>
  </si>
  <si>
    <t>Вставка фильтрационная LV-JK 800x500-9 E16</t>
  </si>
  <si>
    <t>Вставка фильтрационная LV-JK 900x500-9 E16</t>
  </si>
  <si>
    <t>Вставка фильтрационная LV-JK 1000x500-9 E16</t>
  </si>
  <si>
    <t>Фильтр-кассета LV-KDTG 250 E16</t>
  </si>
  <si>
    <t>Фильтр-кассета LV-KDTG 280 E16</t>
  </si>
  <si>
    <t>Фильтр-кассета LV-KDTG 311 E16</t>
  </si>
  <si>
    <t>Фильтр-кассета LV-KDTG 355 E16</t>
  </si>
  <si>
    <t>Фильтр-кассета LV-KDTG 400 E16</t>
  </si>
  <si>
    <t>Фильтр-кассета LV-KDTG 450 E16</t>
  </si>
  <si>
    <t>Фильтр-кассета LV-KDTG 500 E16</t>
  </si>
  <si>
    <t>Фильтр-кассета LV-KDTG 560 E16</t>
  </si>
  <si>
    <t>Фильтр-кассета LV-KDTG 630 E16</t>
  </si>
  <si>
    <t>Фильтр-кассета LV-KDTG 710 E16</t>
  </si>
  <si>
    <t>Фильтр-вставка LV-JKG 250 E16</t>
  </si>
  <si>
    <t>Фильтр-вставка LV-JKG 280 E16</t>
  </si>
  <si>
    <t>Фильтр-вставка LV-JKG 311 E16</t>
  </si>
  <si>
    <t>Фильтр-вставка LV-JKG 355 E16</t>
  </si>
  <si>
    <t>Фильтр-вставка LV-JKG 400 E16</t>
  </si>
  <si>
    <t>Фильтр-вставка LV-JKG 450 E16</t>
  </si>
  <si>
    <t>Фильтр-вставка LV-JKG 500 E16</t>
  </si>
  <si>
    <t>Фильтр-вставка LV-JKG 560 E16</t>
  </si>
  <si>
    <t>Фильтр-вставка LV-JKG 630 E16</t>
  </si>
  <si>
    <t>Фильтр-вставка LV-JKG 710 E16</t>
  </si>
  <si>
    <t>Клапан обратный LV-TDC 100 E16</t>
  </si>
  <si>
    <t>Клапан обратный LV-TDC 125 E16</t>
  </si>
  <si>
    <t>Клапан обратный LV-TDC 160 E16</t>
  </si>
  <si>
    <t>Клапан обратный LV-TDC 200 E16</t>
  </si>
  <si>
    <t>Клапан обратный LV-TDC 250 E16</t>
  </si>
  <si>
    <t>Клапан обратный LV-TDC 315 E16</t>
  </si>
  <si>
    <t>Заслонка воздушная LV-BDTM 400x200-N E16</t>
  </si>
  <si>
    <t>Заслонка воздушная LV-BDTM 500x250-N E16</t>
  </si>
  <si>
    <t>Заслонка воздушная LV-BDTM 500x300-N E16</t>
  </si>
  <si>
    <t>Заслонка воздушная LV-BDTM 600x300-N E16</t>
  </si>
  <si>
    <t>Заслонка воздушная LV-BDTM 600x350-N E16</t>
  </si>
  <si>
    <t>Заслонка воздушная LV-BDTM 700x400-N E16</t>
  </si>
  <si>
    <t>Заслонка воздушная LV-BDTM 800x500-N E16</t>
  </si>
  <si>
    <t>Заслонка воздушная LV-BDTM 900x500-N E16</t>
  </si>
  <si>
    <t>Заслонка воздушная LV-BDTM 1000x500-N E16</t>
  </si>
  <si>
    <t>Заслонка воздушная LV-BDQM 311 E16</t>
  </si>
  <si>
    <t>Шумоглушитель LV-SDQA 311 E16</t>
  </si>
  <si>
    <t>БРЦ 
RUB</t>
  </si>
  <si>
    <r>
      <t xml:space="preserve">ПРАЙС-ЛИСТ </t>
    </r>
    <r>
      <rPr>
        <b/>
        <sz val="24"/>
        <color rgb="FF636466"/>
        <rFont val="Arial Black"/>
        <family val="2"/>
        <charset val="204"/>
      </rPr>
      <t>2024</t>
    </r>
  </si>
  <si>
    <t>► Приточные с электрическим нагревателем</t>
  </si>
  <si>
    <t>Вентиляционная установка LV-DECU-350-E-2,8-EC-GTC-E63</t>
  </si>
  <si>
    <t>Вентиляционная установка LV-DECU-600-E-4-EC-GTC-E63</t>
  </si>
  <si>
    <t>Вентиляционная установка LV-DECU-1000-E-7,6-EC-GTC-E63</t>
  </si>
  <si>
    <t>Вентиляционная установка с пластинчатым рекуператором LV-PACU-250-P-AC-WIFI-E50</t>
  </si>
  <si>
    <t>Вентиляционная установка с пластинчатым рекуператором LV-PACU-400-P-AC-WIFI-E50</t>
  </si>
  <si>
    <t>Вентиляционная установка с пластинчатым рекуператором LV-PACU-600-P-AC-WIFI-E50</t>
  </si>
  <si>
    <t>Вентиляционная установка с пластинчатым рекуператором LV-PACU-800-P-AC-WIFI-E50</t>
  </si>
  <si>
    <t>Вентиляционная установка с пластинчатым рекуператором LV-PACU-1000-P-AC-WIFI-E50</t>
  </si>
  <si>
    <t>Вентиляционная установка с пластинчатым рекуператором LV-PACU-1200-P-AC-WIFI-E50</t>
  </si>
  <si>
    <t>►для прямоугольных каналов электрические с шим - управлением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</si>
</sst>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\ _₽_-;\-* #,##0.00\ _₽_-;_-* &quot;-&quot;??\ _₽_-;_-@_-"/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000000000"/>
    <numFmt numFmtId="168" formatCode="#,##0.0"/>
    <numFmt numFmtId="169" formatCode="#,##0.000"/>
    <numFmt numFmtId="170" formatCode="0.000"/>
    <numFmt numFmtId="171" formatCode="[$€-2]\ #,##0"/>
    <numFmt numFmtId="172" formatCode="#,##0.0000"/>
    <numFmt numFmtId="173" formatCode="0.0"/>
    <numFmt numFmtId="174" formatCode="\+0.0;\-0.0;0.0"/>
    <numFmt numFmtId="175" formatCode="_-* #,##0_-;\-* #,##0_-;_-* &quot;-&quot;_-;_-@_-"/>
    <numFmt numFmtId="176" formatCode="#,##0\ &quot;₽&quot;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9"/>
      <color theme="1" tint="0.249977111117893"/>
      <name val="Arial"/>
      <family val="2"/>
      <charset val="204"/>
    </font>
    <font>
      <b/>
      <sz val="9"/>
      <color theme="0"/>
      <name val="Arial"/>
      <family val="2"/>
      <charset val="204"/>
    </font>
    <font>
      <sz val="11"/>
      <name val="Calibri"/>
      <family val="2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charset val="204"/>
    </font>
    <font>
      <sz val="11"/>
      <color indexed="9"/>
      <name val="Calibri"/>
      <family val="2"/>
      <charset val="204"/>
    </font>
    <font>
      <sz val="10"/>
      <name val="Arial"/>
      <family val="2"/>
      <charset val="186"/>
    </font>
    <font>
      <sz val="11"/>
      <color theme="1"/>
      <name val="Calibri"/>
      <family val="2"/>
      <charset val="186"/>
      <scheme val="minor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8"/>
      <color theme="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9"/>
      <name val="Arial"/>
      <family val="2"/>
      <charset val="204"/>
    </font>
    <font>
      <b/>
      <sz val="12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9"/>
      <color rgb="FF009999"/>
      <name val="Calibri"/>
      <family val="2"/>
      <charset val="204"/>
      <scheme val="minor"/>
    </font>
    <font>
      <sz val="12"/>
      <name val="Arial"/>
      <family val="2"/>
      <charset val="204"/>
    </font>
    <font>
      <b/>
      <sz val="10"/>
      <name val="Arial Cyr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vertAlign val="subscript"/>
      <sz val="11"/>
      <color theme="1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  <font>
      <sz val="6"/>
      <name val="Arial Cyr"/>
      <charset val="204"/>
    </font>
    <font>
      <vertAlign val="superscript"/>
      <sz val="10"/>
      <name val="Arial Cyr"/>
      <charset val="204"/>
    </font>
    <font>
      <sz val="22"/>
      <color theme="1" tint="0.249977111117893"/>
      <name val="Calibri"/>
      <family val="2"/>
      <charset val="204"/>
      <scheme val="minor"/>
    </font>
    <font>
      <b/>
      <sz val="12"/>
      <color theme="0"/>
      <name val="Arial Cyr"/>
      <charset val="204"/>
    </font>
    <font>
      <b/>
      <u/>
      <sz val="12"/>
      <color theme="1" tint="4.9989318521683403E-2"/>
      <name val="Arial"/>
      <family val="2"/>
      <charset val="204"/>
    </font>
    <font>
      <b/>
      <sz val="18"/>
      <color rgb="FF00B0AC"/>
      <name val="Arial Narrow"/>
      <family val="2"/>
      <charset val="204"/>
    </font>
    <font>
      <sz val="11"/>
      <color rgb="FF00000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Times New Roman"/>
      <family val="1"/>
    </font>
    <font>
      <sz val="10"/>
      <name val="Helv"/>
      <family val="2"/>
    </font>
    <font>
      <sz val="12"/>
      <name val="宋体"/>
      <charset val="134"/>
    </font>
    <font>
      <sz val="10"/>
      <color indexed="8"/>
      <name val="Arial"/>
      <family val="2"/>
      <charset val="204"/>
    </font>
    <font>
      <sz val="11"/>
      <color indexed="8"/>
      <name val="宋体"/>
      <charset val="134"/>
    </font>
    <font>
      <sz val="10"/>
      <name val="Arial Cyr"/>
      <family val="2"/>
      <charset val="204"/>
    </font>
    <font>
      <sz val="10"/>
      <name val="Arial"/>
      <family val="2"/>
    </font>
    <font>
      <sz val="11"/>
      <name val="돋움"/>
      <family val="3"/>
      <charset val="129"/>
    </font>
    <font>
      <sz val="10"/>
      <name val="VNI-Times"/>
      <family val="2"/>
    </font>
    <font>
      <sz val="11"/>
      <name val="ＭＳ Ｐゴシック"/>
      <family val="3"/>
      <charset val="128"/>
    </font>
    <font>
      <b/>
      <sz val="14"/>
      <color theme="0"/>
      <name val="Arial Narrow"/>
      <family val="2"/>
      <charset val="204"/>
    </font>
    <font>
      <b/>
      <sz val="16"/>
      <color rgb="FF00B1B4"/>
      <name val="Arial Narrow"/>
      <family val="2"/>
      <charset val="204"/>
    </font>
    <font>
      <sz val="14"/>
      <name val="Arial Narrow"/>
      <family val="2"/>
      <charset val="204"/>
    </font>
    <font>
      <b/>
      <sz val="14"/>
      <color rgb="FF00B1B4"/>
      <name val="Arial Narrow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sz val="16"/>
      <name val="Arial"/>
      <family val="2"/>
      <charset val="204"/>
    </font>
    <font>
      <sz val="12"/>
      <name val="Calibri"/>
      <family val="2"/>
      <charset val="204"/>
      <scheme val="minor"/>
    </font>
    <font>
      <b/>
      <sz val="48"/>
      <name val="Arial"/>
      <family val="2"/>
      <charset val="204"/>
    </font>
    <font>
      <sz val="22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b/>
      <sz val="12"/>
      <name val="Arial Cyr"/>
      <charset val="204"/>
    </font>
    <font>
      <b/>
      <u/>
      <sz val="12"/>
      <name val="Arial"/>
      <family val="2"/>
      <charset val="204"/>
    </font>
    <font>
      <sz val="24"/>
      <color rgb="FF636466"/>
      <name val="Arial Narrow"/>
      <family val="2"/>
      <charset val="204"/>
    </font>
    <font>
      <b/>
      <sz val="24"/>
      <color rgb="FF636466"/>
      <name val="Arial Black"/>
      <family val="2"/>
      <charset val="204"/>
    </font>
    <font>
      <b/>
      <sz val="9"/>
      <color rgb="FF00A6A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sz val="9"/>
      <color rgb="FFFF0000"/>
      <name val="Arial"/>
      <family val="2"/>
      <charset val="204"/>
    </font>
    <font>
      <b/>
      <sz val="16"/>
      <color rgb="FF00B0AC"/>
      <name val="Arial Narrow"/>
      <family val="2"/>
      <charset val="204"/>
    </font>
    <font>
      <b/>
      <sz val="8"/>
      <color rgb="FF008E8B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8"/>
      <color indexed="9"/>
      <name val="Arial"/>
      <family val="2"/>
      <charset val="204"/>
    </font>
    <font>
      <b/>
      <sz val="8"/>
      <color indexed="21"/>
      <name val="Arial"/>
      <family val="2"/>
      <charset val="204"/>
    </font>
    <font>
      <b/>
      <sz val="16"/>
      <color indexed="30"/>
      <name val="Arial Narrow"/>
      <family val="2"/>
      <charset val="204"/>
    </font>
    <font>
      <sz val="12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u/>
      <sz val="10"/>
      <color theme="10"/>
      <name val="Calibri"/>
      <family val="2"/>
      <charset val="204"/>
      <scheme val="minor"/>
    </font>
    <font>
      <u/>
      <sz val="10"/>
      <color theme="1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3646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00A6AA"/>
        <bgColor indexed="64"/>
      </patternFill>
    </fill>
    <fill>
      <patternFill patternType="solid">
        <fgColor rgb="FFC4F4F3"/>
        <bgColor indexed="64"/>
      </patternFill>
    </fill>
    <fill>
      <patternFill patternType="solid">
        <fgColor rgb="FFE8FBFB"/>
        <bgColor indexed="64"/>
      </patternFill>
    </fill>
    <fill>
      <patternFill patternType="solid">
        <fgColor rgb="FFE7FBFF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FF"/>
        <bgColor indexed="64"/>
      </patternFill>
    </fill>
  </fills>
  <borders count="96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rgb="FF636466"/>
      </left>
      <right style="thin">
        <color theme="0" tint="-0.34998626667073579"/>
      </right>
      <top style="thin">
        <color rgb="FF636466"/>
      </top>
      <bottom style="thin">
        <color rgb="FF636466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A6A6A6"/>
      </right>
      <top style="thin">
        <color rgb="FF636466"/>
      </top>
      <bottom style="thin">
        <color rgb="FF636466"/>
      </bottom>
      <diagonal/>
    </border>
    <border>
      <left/>
      <right/>
      <top/>
      <bottom style="thin">
        <color rgb="FF808080"/>
      </bottom>
      <diagonal/>
    </border>
  </borders>
  <cellStyleXfs count="5717">
    <xf numFmtId="0" fontId="0" fillId="0" borderId="0"/>
    <xf numFmtId="0" fontId="17" fillId="0" borderId="0"/>
    <xf numFmtId="0" fontId="21" fillId="0" borderId="0"/>
    <xf numFmtId="0" fontId="21" fillId="0" borderId="0"/>
    <xf numFmtId="0" fontId="17" fillId="0" borderId="0"/>
    <xf numFmtId="0" fontId="16" fillId="0" borderId="0"/>
    <xf numFmtId="0" fontId="22" fillId="0" borderId="0"/>
    <xf numFmtId="0" fontId="15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17" fillId="0" borderId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6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7" fillId="9" borderId="2" applyNumberFormat="0" applyAlignment="0" applyProtection="0"/>
    <xf numFmtId="0" fontId="27" fillId="9" borderId="2" applyNumberFormat="0" applyAlignment="0" applyProtection="0"/>
    <xf numFmtId="0" fontId="27" fillId="9" borderId="2" applyNumberFormat="0" applyAlignment="0" applyProtection="0"/>
    <xf numFmtId="0" fontId="27" fillId="9" borderId="2" applyNumberFormat="0" applyAlignment="0" applyProtection="0"/>
    <xf numFmtId="0" fontId="28" fillId="22" borderId="1" applyNumberFormat="0" applyAlignment="0" applyProtection="0"/>
    <xf numFmtId="0" fontId="28" fillId="22" borderId="1" applyNumberFormat="0" applyAlignment="0" applyProtection="0"/>
    <xf numFmtId="0" fontId="28" fillId="22" borderId="1" applyNumberFormat="0" applyAlignment="0" applyProtection="0"/>
    <xf numFmtId="0" fontId="28" fillId="22" borderId="1" applyNumberFormat="0" applyAlignment="0" applyProtection="0"/>
    <xf numFmtId="0" fontId="29" fillId="22" borderId="2" applyNumberFormat="0" applyAlignment="0" applyProtection="0"/>
    <xf numFmtId="0" fontId="29" fillId="22" borderId="2" applyNumberFormat="0" applyAlignment="0" applyProtection="0"/>
    <xf numFmtId="0" fontId="29" fillId="22" borderId="2" applyNumberFormat="0" applyAlignment="0" applyProtection="0"/>
    <xf numFmtId="0" fontId="29" fillId="22" borderId="2" applyNumberFormat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6" applyNumberFormat="0" applyFill="0" applyAlignment="0" applyProtection="0"/>
    <xf numFmtId="0" fontId="34" fillId="0" borderId="6" applyNumberFormat="0" applyFill="0" applyAlignment="0" applyProtection="0"/>
    <xf numFmtId="0" fontId="34" fillId="0" borderId="6" applyNumberFormat="0" applyFill="0" applyAlignment="0" applyProtection="0"/>
    <xf numFmtId="0" fontId="34" fillId="0" borderId="6" applyNumberFormat="0" applyFill="0" applyAlignment="0" applyProtection="0"/>
    <xf numFmtId="0" fontId="35" fillId="23" borderId="7" applyNumberFormat="0" applyAlignment="0" applyProtection="0"/>
    <xf numFmtId="0" fontId="35" fillId="23" borderId="7" applyNumberFormat="0" applyAlignment="0" applyProtection="0"/>
    <xf numFmtId="0" fontId="35" fillId="23" borderId="7" applyNumberFormat="0" applyAlignment="0" applyProtection="0"/>
    <xf numFmtId="0" fontId="35" fillId="23" borderId="7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7" fillId="0" borderId="0"/>
    <xf numFmtId="0" fontId="21" fillId="0" borderId="0"/>
    <xf numFmtId="0" fontId="21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16" fillId="0" borderId="0"/>
    <xf numFmtId="0" fontId="38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38" fillId="0" borderId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2" fillId="25" borderId="8" applyNumberFormat="0" applyFont="0" applyAlignment="0" applyProtection="0"/>
    <xf numFmtId="0" fontId="22" fillId="25" borderId="8" applyNumberFormat="0" applyFont="0" applyAlignment="0" applyProtection="0"/>
    <xf numFmtId="0" fontId="22" fillId="25" borderId="8" applyNumberFormat="0" applyFont="0" applyAlignment="0" applyProtection="0"/>
    <xf numFmtId="0" fontId="22" fillId="25" borderId="8" applyNumberFormat="0" applyFont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2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68" fillId="0" borderId="0" applyNumberFormat="0" applyFill="0" applyBorder="0" applyAlignment="0" applyProtection="0"/>
    <xf numFmtId="0" fontId="9" fillId="0" borderId="0"/>
    <xf numFmtId="0" fontId="69" fillId="0" borderId="0"/>
    <xf numFmtId="0" fontId="70" fillId="0" borderId="0" applyNumberFormat="0" applyBorder="0" applyAlignment="0" applyProtection="0">
      <alignment vertical="center"/>
    </xf>
    <xf numFmtId="0" fontId="70" fillId="0" borderId="0" applyNumberFormat="0" applyBorder="0" applyAlignment="0" applyProtection="0">
      <alignment vertical="center"/>
    </xf>
    <xf numFmtId="0" fontId="70" fillId="0" borderId="0"/>
    <xf numFmtId="0" fontId="71" fillId="0" borderId="0"/>
    <xf numFmtId="0" fontId="71" fillId="0" borderId="0"/>
    <xf numFmtId="0" fontId="70" fillId="0" borderId="0" applyNumberFormat="0" applyBorder="0" applyAlignment="0" applyProtection="0">
      <alignment vertical="center"/>
    </xf>
    <xf numFmtId="0" fontId="21" fillId="0" borderId="0"/>
    <xf numFmtId="0" fontId="16" fillId="0" borderId="0">
      <alignment vertical="center"/>
    </xf>
    <xf numFmtId="0" fontId="8" fillId="0" borderId="0"/>
    <xf numFmtId="0" fontId="16" fillId="0" borderId="0">
      <alignment vertical="center"/>
    </xf>
    <xf numFmtId="0" fontId="23" fillId="0" borderId="0" applyNumberFormat="0" applyFill="0" applyBorder="0" applyAlignment="0" applyProtection="0">
      <alignment vertical="top"/>
      <protection locked="0"/>
    </xf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72" fillId="0" borderId="0"/>
    <xf numFmtId="0" fontId="8" fillId="0" borderId="0"/>
    <xf numFmtId="0" fontId="73" fillId="0" borderId="0">
      <alignment vertical="center"/>
    </xf>
    <xf numFmtId="0" fontId="74" fillId="0" borderId="0"/>
    <xf numFmtId="0" fontId="50" fillId="0" borderId="0"/>
    <xf numFmtId="0" fontId="9" fillId="0" borderId="0"/>
    <xf numFmtId="0" fontId="71" fillId="0" borderId="0"/>
    <xf numFmtId="0" fontId="22" fillId="0" borderId="0"/>
    <xf numFmtId="0" fontId="70" fillId="0" borderId="0"/>
    <xf numFmtId="0" fontId="71" fillId="0" borderId="0"/>
    <xf numFmtId="0" fontId="50" fillId="0" borderId="0"/>
    <xf numFmtId="0" fontId="21" fillId="0" borderId="0"/>
    <xf numFmtId="0" fontId="16" fillId="0" borderId="0"/>
    <xf numFmtId="0" fontId="72" fillId="0" borderId="0"/>
    <xf numFmtId="0" fontId="72" fillId="0" borderId="0"/>
    <xf numFmtId="0" fontId="75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76" fillId="0" borderId="0"/>
    <xf numFmtId="0" fontId="71" fillId="0" borderId="0" applyNumberFormat="0" applyBorder="0" applyAlignment="0" applyProtection="0">
      <alignment vertical="center"/>
    </xf>
    <xf numFmtId="0" fontId="69" fillId="0" borderId="0"/>
    <xf numFmtId="0" fontId="71" fillId="0" borderId="0"/>
    <xf numFmtId="175" fontId="77" fillId="0" borderId="0" applyFont="0" applyFill="0" applyBorder="0" applyAlignment="0" applyProtection="0"/>
    <xf numFmtId="0" fontId="78" fillId="0" borderId="0"/>
    <xf numFmtId="0" fontId="34" fillId="0" borderId="6" applyNumberFormat="0" applyFill="0" applyAlignment="0" applyProtection="0"/>
    <xf numFmtId="0" fontId="28" fillId="22" borderId="1" applyNumberFormat="0" applyAlignment="0" applyProtection="0"/>
    <xf numFmtId="0" fontId="39" fillId="5" borderId="0" applyNumberFormat="0" applyBorder="0" applyAlignment="0" applyProtection="0"/>
    <xf numFmtId="0" fontId="44" fillId="6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74" fillId="25" borderId="8" applyNumberFormat="0" applyFont="0" applyAlignment="0" applyProtection="0"/>
    <xf numFmtId="0" fontId="37" fillId="24" borderId="0" applyNumberFormat="0" applyBorder="0" applyAlignment="0" applyProtection="0"/>
    <xf numFmtId="0" fontId="24" fillId="17" borderId="0" applyNumberFormat="0" applyBorder="0" applyAlignment="0" applyProtection="0"/>
    <xf numFmtId="0" fontId="41" fillId="0" borderId="9" applyNumberFormat="0" applyFill="0" applyAlignment="0" applyProtection="0"/>
    <xf numFmtId="0" fontId="35" fillId="23" borderId="7" applyNumberFormat="0" applyAlignment="0" applyProtection="0"/>
    <xf numFmtId="0" fontId="43" fillId="0" borderId="0" applyNumberForma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7" fillId="0" borderId="0" applyFont="0" applyFill="0" applyBorder="0" applyAlignment="0" applyProtection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6" fillId="0" borderId="0"/>
    <xf numFmtId="0" fontId="21" fillId="0" borderId="0"/>
    <xf numFmtId="0" fontId="1" fillId="0" borderId="0"/>
    <xf numFmtId="0" fontId="1" fillId="0" borderId="0"/>
    <xf numFmtId="0" fontId="16" fillId="0" borderId="0"/>
    <xf numFmtId="0" fontId="21" fillId="0" borderId="0"/>
    <xf numFmtId="0" fontId="1" fillId="0" borderId="0"/>
    <xf numFmtId="0" fontId="1" fillId="0" borderId="0"/>
    <xf numFmtId="0" fontId="16" fillId="0" borderId="0"/>
    <xf numFmtId="0" fontId="21" fillId="0" borderId="0"/>
    <xf numFmtId="0" fontId="1" fillId="0" borderId="0"/>
    <xf numFmtId="0" fontId="1" fillId="0" borderId="0"/>
    <xf numFmtId="0" fontId="16" fillId="0" borderId="0"/>
    <xf numFmtId="0" fontId="2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03" fillId="0" borderId="59">
      <alignment horizontal="center" vertical="center" wrapText="1"/>
    </xf>
    <xf numFmtId="0" fontId="21" fillId="0" borderId="0"/>
    <xf numFmtId="0" fontId="16" fillId="0" borderId="0"/>
    <xf numFmtId="0" fontId="16" fillId="0" borderId="0"/>
    <xf numFmtId="0" fontId="10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16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21" fillId="0" borderId="0"/>
    <xf numFmtId="0" fontId="102" fillId="0" borderId="0"/>
    <xf numFmtId="0" fontId="102" fillId="0" borderId="0"/>
    <xf numFmtId="0" fontId="21" fillId="0" borderId="0"/>
    <xf numFmtId="0" fontId="102" fillId="0" borderId="0"/>
    <xf numFmtId="0" fontId="21" fillId="0" borderId="0"/>
    <xf numFmtId="0" fontId="102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21" fillId="0" borderId="0"/>
    <xf numFmtId="0" fontId="21" fillId="0" borderId="0"/>
    <xf numFmtId="0" fontId="102" fillId="0" borderId="0"/>
    <xf numFmtId="0" fontId="102" fillId="0" borderId="0"/>
    <xf numFmtId="0" fontId="21" fillId="0" borderId="0"/>
    <xf numFmtId="0" fontId="102" fillId="0" borderId="0"/>
    <xf numFmtId="0" fontId="102" fillId="0" borderId="0"/>
    <xf numFmtId="0" fontId="21" fillId="0" borderId="0"/>
    <xf numFmtId="0" fontId="102" fillId="0" borderId="0"/>
    <xf numFmtId="0" fontId="102" fillId="0" borderId="0"/>
    <xf numFmtId="0" fontId="21" fillId="0" borderId="0"/>
    <xf numFmtId="0" fontId="102" fillId="0" borderId="0"/>
    <xf numFmtId="0" fontId="102" fillId="0" borderId="0"/>
    <xf numFmtId="0" fontId="21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21" fillId="0" borderId="0"/>
    <xf numFmtId="0" fontId="102" fillId="0" borderId="0"/>
    <xf numFmtId="0" fontId="102" fillId="0" borderId="0"/>
    <xf numFmtId="0" fontId="21" fillId="0" borderId="0"/>
    <xf numFmtId="0" fontId="102" fillId="0" borderId="0"/>
    <xf numFmtId="0" fontId="102" fillId="0" borderId="0"/>
    <xf numFmtId="0" fontId="21" fillId="0" borderId="0"/>
    <xf numFmtId="0" fontId="102" fillId="0" borderId="0"/>
    <xf numFmtId="0" fontId="21" fillId="0" borderId="0"/>
    <xf numFmtId="0" fontId="102" fillId="0" borderId="0"/>
    <xf numFmtId="0" fontId="102" fillId="0" borderId="0"/>
    <xf numFmtId="0" fontId="21" fillId="0" borderId="0"/>
    <xf numFmtId="0" fontId="102" fillId="0" borderId="0"/>
    <xf numFmtId="0" fontId="21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02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02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02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02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02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02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02" fillId="0" borderId="0"/>
    <xf numFmtId="0" fontId="102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02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02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102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02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02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02" fillId="0" borderId="0"/>
    <xf numFmtId="0" fontId="102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102" fillId="0" borderId="0"/>
    <xf numFmtId="0" fontId="102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02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21" fillId="0" borderId="0"/>
    <xf numFmtId="0" fontId="102" fillId="0" borderId="0"/>
    <xf numFmtId="0" fontId="102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02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02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102" fillId="0" borderId="0"/>
    <xf numFmtId="0" fontId="102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02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21" fillId="0" borderId="0"/>
    <xf numFmtId="0" fontId="102" fillId="0" borderId="0"/>
    <xf numFmtId="0" fontId="102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102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102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02" fillId="0" borderId="0"/>
    <xf numFmtId="0" fontId="102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02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21" fillId="0" borderId="0"/>
    <xf numFmtId="0" fontId="102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02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02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0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02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02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02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02" fillId="0" borderId="0"/>
    <xf numFmtId="0" fontId="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" fillId="0" borderId="0"/>
    <xf numFmtId="0" fontId="16" fillId="0" borderId="0"/>
    <xf numFmtId="0" fontId="102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2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02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02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02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" fillId="0" borderId="0"/>
    <xf numFmtId="0" fontId="102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2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2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102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02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02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02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02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02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02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02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16" fillId="0" borderId="0"/>
    <xf numFmtId="0" fontId="102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16" fillId="0" borderId="0"/>
    <xf numFmtId="0" fontId="102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99">
    <xf numFmtId="0" fontId="0" fillId="0" borderId="0" xfId="0"/>
    <xf numFmtId="0" fontId="20" fillId="2" borderId="0" xfId="0" applyFont="1" applyFill="1"/>
    <xf numFmtId="0" fontId="0" fillId="2" borderId="0" xfId="0" applyFill="1"/>
    <xf numFmtId="0" fontId="20" fillId="2" borderId="0" xfId="0" applyFont="1" applyFill="1"/>
    <xf numFmtId="0" fontId="20" fillId="2" borderId="0" xfId="0" applyFont="1" applyFill="1" applyBorder="1"/>
    <xf numFmtId="0" fontId="0" fillId="0" borderId="16" xfId="0" applyBorder="1"/>
    <xf numFmtId="0" fontId="0" fillId="0" borderId="0" xfId="0" applyFill="1" applyBorder="1"/>
    <xf numFmtId="0" fontId="0" fillId="0" borderId="0" xfId="0" applyProtection="1"/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46" fillId="0" borderId="0" xfId="0" applyFont="1" applyBorder="1" applyAlignment="1" applyProtection="1">
      <alignment vertical="center"/>
    </xf>
    <xf numFmtId="0" fontId="46" fillId="0" borderId="0" xfId="0" applyFont="1" applyBorder="1" applyAlignment="1" applyProtection="1">
      <alignment horizontal="center" vertical="center"/>
    </xf>
    <xf numFmtId="0" fontId="47" fillId="0" borderId="24" xfId="0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0" xfId="0" applyAlignment="1">
      <alignment vertical="center"/>
    </xf>
    <xf numFmtId="0" fontId="47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" fontId="0" fillId="0" borderId="34" xfId="0" applyNumberForma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" fontId="0" fillId="0" borderId="28" xfId="0" applyNumberFormat="1" applyFill="1" applyBorder="1" applyAlignment="1" applyProtection="1">
      <alignment horizontal="center" vertical="center"/>
      <protection locked="0"/>
    </xf>
    <xf numFmtId="1" fontId="0" fillId="0" borderId="15" xfId="0" applyNumberForma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>
      <alignment vertical="center"/>
    </xf>
    <xf numFmtId="1" fontId="0" fillId="28" borderId="29" xfId="0" applyNumberFormat="1" applyFill="1" applyBorder="1" applyAlignment="1">
      <alignment horizontal="center" vertical="center"/>
    </xf>
    <xf numFmtId="1" fontId="0" fillId="28" borderId="18" xfId="0" applyNumberFormat="1" applyFill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" fontId="0" fillId="0" borderId="39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67" fontId="49" fillId="0" borderId="0" xfId="0" applyNumberFormat="1" applyFont="1" applyAlignment="1">
      <alignment horizontal="left" vertical="center"/>
    </xf>
    <xf numFmtId="0" fontId="53" fillId="0" borderId="0" xfId="0" applyFont="1" applyAlignment="1">
      <alignment vertical="center"/>
    </xf>
    <xf numFmtId="0" fontId="53" fillId="0" borderId="0" xfId="0" applyFont="1" applyAlignment="1">
      <alignment horizontal="center" vertical="center"/>
    </xf>
    <xf numFmtId="167" fontId="49" fillId="26" borderId="16" xfId="0" applyNumberFormat="1" applyFont="1" applyFill="1" applyBorder="1" applyAlignment="1">
      <alignment horizontal="center" vertical="center"/>
    </xf>
    <xf numFmtId="0" fontId="49" fillId="26" borderId="16" xfId="0" applyFont="1" applyFill="1" applyBorder="1" applyAlignment="1">
      <alignment horizontal="center" vertical="center"/>
    </xf>
    <xf numFmtId="0" fontId="53" fillId="0" borderId="21" xfId="0" applyFont="1" applyBorder="1" applyAlignment="1">
      <alignment horizontal="center" vertical="center"/>
    </xf>
    <xf numFmtId="0" fontId="53" fillId="0" borderId="21" xfId="0" applyFont="1" applyBorder="1" applyAlignment="1">
      <alignment vertical="center"/>
    </xf>
    <xf numFmtId="169" fontId="53" fillId="30" borderId="21" xfId="0" applyNumberFormat="1" applyFont="1" applyFill="1" applyBorder="1" applyAlignment="1">
      <alignment horizontal="center" vertical="center"/>
    </xf>
    <xf numFmtId="0" fontId="53" fillId="30" borderId="21" xfId="0" applyNumberFormat="1" applyFont="1" applyFill="1" applyBorder="1" applyAlignment="1">
      <alignment horizontal="center" vertical="center"/>
    </xf>
    <xf numFmtId="0" fontId="53" fillId="0" borderId="41" xfId="0" applyFont="1" applyFill="1" applyBorder="1" applyAlignment="1">
      <alignment horizontal="center" vertical="center"/>
    </xf>
    <xf numFmtId="0" fontId="53" fillId="0" borderId="42" xfId="0" applyFont="1" applyFill="1" applyBorder="1" applyAlignment="1">
      <alignment horizontal="center" vertical="center"/>
    </xf>
    <xf numFmtId="0" fontId="53" fillId="0" borderId="43" xfId="0" applyFont="1" applyFill="1" applyBorder="1" applyAlignment="1">
      <alignment horizontal="center" vertical="center"/>
    </xf>
    <xf numFmtId="0" fontId="53" fillId="0" borderId="44" xfId="0" applyFont="1" applyBorder="1" applyAlignment="1">
      <alignment horizontal="center" vertical="center"/>
    </xf>
    <xf numFmtId="0" fontId="53" fillId="0" borderId="12" xfId="0" applyFont="1" applyBorder="1" applyAlignment="1">
      <alignment horizontal="center" vertical="center"/>
    </xf>
    <xf numFmtId="1" fontId="53" fillId="0" borderId="0" xfId="0" applyNumberFormat="1" applyFont="1" applyAlignment="1">
      <alignment horizontal="center" vertical="center"/>
    </xf>
    <xf numFmtId="0" fontId="53" fillId="0" borderId="27" xfId="0" applyFont="1" applyBorder="1" applyAlignment="1">
      <alignment horizontal="center" vertical="center"/>
    </xf>
    <xf numFmtId="0" fontId="53" fillId="0" borderId="27" xfId="0" applyFont="1" applyBorder="1" applyAlignment="1">
      <alignment vertical="center"/>
    </xf>
    <xf numFmtId="169" fontId="53" fillId="30" borderId="27" xfId="0" applyNumberFormat="1" applyFont="1" applyFill="1" applyBorder="1" applyAlignment="1">
      <alignment horizontal="center" vertical="center"/>
    </xf>
    <xf numFmtId="0" fontId="53" fillId="30" borderId="27" xfId="0" applyNumberFormat="1" applyFont="1" applyFill="1" applyBorder="1" applyAlignment="1">
      <alignment horizontal="center" vertical="center"/>
    </xf>
    <xf numFmtId="0" fontId="53" fillId="0" borderId="45" xfId="0" applyFont="1" applyFill="1" applyBorder="1" applyAlignment="1">
      <alignment horizontal="center" vertical="center"/>
    </xf>
    <xf numFmtId="0" fontId="53" fillId="0" borderId="46" xfId="0" applyFont="1" applyFill="1" applyBorder="1" applyAlignment="1">
      <alignment horizontal="center" vertical="center"/>
    </xf>
    <xf numFmtId="0" fontId="53" fillId="0" borderId="47" xfId="0" applyFont="1" applyFill="1" applyBorder="1" applyAlignment="1">
      <alignment horizontal="center" vertical="center"/>
    </xf>
    <xf numFmtId="0" fontId="53" fillId="0" borderId="48" xfId="0" applyFont="1" applyBorder="1" applyAlignment="1">
      <alignment horizontal="center" vertical="center"/>
    </xf>
    <xf numFmtId="0" fontId="53" fillId="0" borderId="10" xfId="0" applyFont="1" applyBorder="1" applyAlignment="1">
      <alignment horizontal="center" vertical="center"/>
    </xf>
    <xf numFmtId="0" fontId="53" fillId="0" borderId="25" xfId="0" applyFont="1" applyBorder="1" applyAlignment="1">
      <alignment horizontal="center" vertical="center"/>
    </xf>
    <xf numFmtId="0" fontId="53" fillId="0" borderId="49" xfId="0" applyFont="1" applyFill="1" applyBorder="1" applyAlignment="1">
      <alignment horizontal="center" vertical="center"/>
    </xf>
    <xf numFmtId="0" fontId="53" fillId="0" borderId="50" xfId="0" applyFont="1" applyFill="1" applyBorder="1" applyAlignment="1">
      <alignment horizontal="center" vertical="center"/>
    </xf>
    <xf numFmtId="0" fontId="53" fillId="0" borderId="51" xfId="0" applyFont="1" applyFill="1" applyBorder="1" applyAlignment="1">
      <alignment horizontal="center" vertical="center"/>
    </xf>
    <xf numFmtId="0" fontId="53" fillId="0" borderId="52" xfId="0" applyFont="1" applyBorder="1" applyAlignment="1">
      <alignment horizontal="center" vertical="center"/>
    </xf>
    <xf numFmtId="0" fontId="53" fillId="0" borderId="26" xfId="0" applyFont="1" applyBorder="1" applyAlignment="1">
      <alignment horizontal="center" vertical="center"/>
    </xf>
    <xf numFmtId="0" fontId="53" fillId="0" borderId="25" xfId="0" applyFont="1" applyBorder="1" applyAlignment="1">
      <alignment vertical="center"/>
    </xf>
    <xf numFmtId="169" fontId="53" fillId="30" borderId="25" xfId="0" applyNumberFormat="1" applyFont="1" applyFill="1" applyBorder="1" applyAlignment="1">
      <alignment horizontal="center" vertical="center"/>
    </xf>
    <xf numFmtId="0" fontId="53" fillId="30" borderId="25" xfId="0" applyNumberFormat="1" applyFont="1" applyFill="1" applyBorder="1" applyAlignment="1">
      <alignment horizontal="center" vertical="center"/>
    </xf>
    <xf numFmtId="0" fontId="53" fillId="0" borderId="42" xfId="0" applyFont="1" applyBorder="1" applyAlignment="1">
      <alignment horizontal="center" vertical="center"/>
    </xf>
    <xf numFmtId="0" fontId="53" fillId="0" borderId="43" xfId="0" applyFont="1" applyBorder="1" applyAlignment="1">
      <alignment horizontal="center" vertical="center"/>
    </xf>
    <xf numFmtId="0" fontId="53" fillId="0" borderId="46" xfId="0" applyFont="1" applyBorder="1" applyAlignment="1">
      <alignment horizontal="center" vertical="center"/>
    </xf>
    <xf numFmtId="0" fontId="53" fillId="0" borderId="47" xfId="0" applyFont="1" applyBorder="1" applyAlignment="1">
      <alignment horizontal="center" vertical="center"/>
    </xf>
    <xf numFmtId="167" fontId="53" fillId="0" borderId="0" xfId="0" applyNumberFormat="1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vertical="center"/>
    </xf>
    <xf numFmtId="0" fontId="53" fillId="0" borderId="0" xfId="0" applyFont="1" applyFill="1" applyBorder="1" applyAlignment="1">
      <alignment horizontal="center" vertical="center"/>
    </xf>
    <xf numFmtId="167" fontId="53" fillId="26" borderId="11" xfId="0" applyNumberFormat="1" applyFont="1" applyFill="1" applyBorder="1" applyAlignment="1">
      <alignment horizontal="center" vertical="center"/>
    </xf>
    <xf numFmtId="0" fontId="53" fillId="0" borderId="53" xfId="0" applyFont="1" applyBorder="1" applyAlignment="1">
      <alignment horizontal="center" vertical="center"/>
    </xf>
    <xf numFmtId="0" fontId="53" fillId="0" borderId="53" xfId="0" applyFont="1" applyBorder="1" applyAlignment="1">
      <alignment vertical="center"/>
    </xf>
    <xf numFmtId="170" fontId="53" fillId="30" borderId="11" xfId="0" applyNumberFormat="1" applyFont="1" applyFill="1" applyBorder="1" applyAlignment="1">
      <alignment horizontal="center" vertical="center"/>
    </xf>
    <xf numFmtId="170" fontId="53" fillId="30" borderId="53" xfId="0" applyNumberFormat="1" applyFont="1" applyFill="1" applyBorder="1" applyAlignment="1">
      <alignment horizontal="center" vertical="center"/>
    </xf>
    <xf numFmtId="0" fontId="53" fillId="26" borderId="11" xfId="0" applyFont="1" applyFill="1" applyBorder="1" applyAlignment="1">
      <alignment horizontal="center" vertical="center"/>
    </xf>
    <xf numFmtId="0" fontId="53" fillId="26" borderId="53" xfId="0" applyFont="1" applyFill="1" applyBorder="1" applyAlignment="1">
      <alignment horizontal="center" vertical="center"/>
    </xf>
    <xf numFmtId="170" fontId="53" fillId="0" borderId="53" xfId="0" applyNumberFormat="1" applyFont="1" applyBorder="1" applyAlignment="1">
      <alignment horizontal="center" vertical="center"/>
    </xf>
    <xf numFmtId="3" fontId="53" fillId="26" borderId="53" xfId="0" applyNumberFormat="1" applyFont="1" applyFill="1" applyBorder="1" applyAlignment="1">
      <alignment horizontal="center" vertical="center"/>
    </xf>
    <xf numFmtId="0" fontId="53" fillId="26" borderId="53" xfId="0" applyNumberFormat="1" applyFont="1" applyFill="1" applyBorder="1" applyAlignment="1">
      <alignment horizontal="center" vertical="center"/>
    </xf>
    <xf numFmtId="167" fontId="53" fillId="26" borderId="17" xfId="0" applyNumberFormat="1" applyFont="1" applyFill="1" applyBorder="1" applyAlignment="1">
      <alignment horizontal="center" vertical="center"/>
    </xf>
    <xf numFmtId="0" fontId="53" fillId="0" borderId="24" xfId="0" applyFont="1" applyBorder="1" applyAlignment="1">
      <alignment horizontal="center" vertical="center"/>
    </xf>
    <xf numFmtId="0" fontId="53" fillId="0" borderId="24" xfId="0" applyFont="1" applyBorder="1" applyAlignment="1">
      <alignment vertical="center"/>
    </xf>
    <xf numFmtId="170" fontId="53" fillId="30" borderId="17" xfId="0" applyNumberFormat="1" applyFont="1" applyFill="1" applyBorder="1" applyAlignment="1">
      <alignment horizontal="center" vertical="center"/>
    </xf>
    <xf numFmtId="170" fontId="53" fillId="30" borderId="24" xfId="0" applyNumberFormat="1" applyFont="1" applyFill="1" applyBorder="1" applyAlignment="1">
      <alignment horizontal="center" vertical="center"/>
    </xf>
    <xf numFmtId="0" fontId="53" fillId="26" borderId="17" xfId="0" applyFont="1" applyFill="1" applyBorder="1" applyAlignment="1">
      <alignment horizontal="center" vertical="center"/>
    </xf>
    <xf numFmtId="0" fontId="53" fillId="26" borderId="24" xfId="0" applyFont="1" applyFill="1" applyBorder="1" applyAlignment="1">
      <alignment horizontal="center" vertical="center"/>
    </xf>
    <xf numFmtId="170" fontId="53" fillId="0" borderId="24" xfId="0" applyNumberFormat="1" applyFont="1" applyBorder="1" applyAlignment="1">
      <alignment horizontal="center" vertical="center"/>
    </xf>
    <xf numFmtId="3" fontId="53" fillId="26" borderId="24" xfId="0" applyNumberFormat="1" applyFont="1" applyFill="1" applyBorder="1" applyAlignment="1">
      <alignment horizontal="center" vertical="center"/>
    </xf>
    <xf numFmtId="0" fontId="53" fillId="26" borderId="24" xfId="0" applyNumberFormat="1" applyFont="1" applyFill="1" applyBorder="1" applyAlignment="1">
      <alignment horizontal="center" vertical="center"/>
    </xf>
    <xf numFmtId="167" fontId="53" fillId="26" borderId="13" xfId="0" applyNumberFormat="1" applyFont="1" applyFill="1" applyBorder="1" applyAlignment="1">
      <alignment horizontal="center" vertical="center"/>
    </xf>
    <xf numFmtId="170" fontId="53" fillId="30" borderId="13" xfId="0" applyNumberFormat="1" applyFont="1" applyFill="1" applyBorder="1" applyAlignment="1">
      <alignment horizontal="center" vertical="center"/>
    </xf>
    <xf numFmtId="170" fontId="53" fillId="30" borderId="0" xfId="0" applyNumberFormat="1" applyFont="1" applyFill="1" applyBorder="1" applyAlignment="1">
      <alignment horizontal="center" vertical="center"/>
    </xf>
    <xf numFmtId="0" fontId="53" fillId="26" borderId="13" xfId="0" applyFont="1" applyFill="1" applyBorder="1" applyAlignment="1">
      <alignment horizontal="center" vertical="center"/>
    </xf>
    <xf numFmtId="0" fontId="53" fillId="26" borderId="0" xfId="0" applyFont="1" applyFill="1" applyBorder="1" applyAlignment="1">
      <alignment horizontal="center" vertical="center"/>
    </xf>
    <xf numFmtId="170" fontId="53" fillId="0" borderId="0" xfId="0" applyNumberFormat="1" applyFont="1" applyBorder="1" applyAlignment="1">
      <alignment horizontal="center" vertical="center"/>
    </xf>
    <xf numFmtId="3" fontId="53" fillId="26" borderId="0" xfId="0" applyNumberFormat="1" applyFont="1" applyFill="1" applyBorder="1" applyAlignment="1">
      <alignment horizontal="center" vertical="center"/>
    </xf>
    <xf numFmtId="0" fontId="53" fillId="26" borderId="0" xfId="0" applyNumberFormat="1" applyFont="1" applyFill="1" applyBorder="1" applyAlignment="1">
      <alignment horizontal="center" vertical="center"/>
    </xf>
    <xf numFmtId="0" fontId="53" fillId="26" borderId="22" xfId="0" applyNumberFormat="1" applyFont="1" applyFill="1" applyBorder="1" applyAlignment="1">
      <alignment horizontal="center" vertical="center"/>
    </xf>
    <xf numFmtId="0" fontId="53" fillId="26" borderId="22" xfId="0" applyFont="1" applyFill="1" applyBorder="1" applyAlignment="1">
      <alignment horizontal="center" vertical="center"/>
    </xf>
    <xf numFmtId="0" fontId="53" fillId="0" borderId="22" xfId="0" applyFont="1" applyBorder="1" applyAlignment="1">
      <alignment horizontal="center" vertical="center"/>
    </xf>
    <xf numFmtId="0" fontId="53" fillId="0" borderId="22" xfId="0" applyFont="1" applyBorder="1" applyAlignment="1">
      <alignment vertical="center"/>
    </xf>
    <xf numFmtId="170" fontId="53" fillId="30" borderId="20" xfId="0" applyNumberFormat="1" applyFont="1" applyFill="1" applyBorder="1" applyAlignment="1">
      <alignment horizontal="center" vertical="center"/>
    </xf>
    <xf numFmtId="170" fontId="53" fillId="30" borderId="22" xfId="0" applyNumberFormat="1" applyFont="1" applyFill="1" applyBorder="1" applyAlignment="1">
      <alignment horizontal="center" vertical="center"/>
    </xf>
    <xf numFmtId="170" fontId="53" fillId="0" borderId="22" xfId="0" applyNumberFormat="1" applyFont="1" applyBorder="1" applyAlignment="1">
      <alignment horizontal="center" vertical="center"/>
    </xf>
    <xf numFmtId="3" fontId="53" fillId="26" borderId="22" xfId="0" applyNumberFormat="1" applyFont="1" applyFill="1" applyBorder="1" applyAlignment="1">
      <alignment horizontal="center" vertical="center"/>
    </xf>
    <xf numFmtId="0" fontId="53" fillId="0" borderId="23" xfId="0" applyFont="1" applyBorder="1" applyAlignment="1">
      <alignment horizontal="center" vertical="center"/>
    </xf>
    <xf numFmtId="167" fontId="53" fillId="0" borderId="0" xfId="0" applyNumberFormat="1" applyFont="1" applyAlignment="1">
      <alignment horizontal="center" vertical="center"/>
    </xf>
    <xf numFmtId="0" fontId="47" fillId="26" borderId="16" xfId="0" applyFont="1" applyFill="1" applyBorder="1" applyAlignment="1">
      <alignment horizontal="center" vertical="center"/>
    </xf>
    <xf numFmtId="0" fontId="11" fillId="26" borderId="16" xfId="0" applyFont="1" applyFill="1" applyBorder="1" applyAlignment="1">
      <alignment horizontal="center" vertical="center"/>
    </xf>
    <xf numFmtId="0" fontId="47" fillId="0" borderId="16" xfId="0" applyFont="1" applyBorder="1"/>
    <xf numFmtId="0" fontId="0" fillId="0" borderId="27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7" xfId="0" applyBorder="1"/>
    <xf numFmtId="0" fontId="0" fillId="0" borderId="25" xfId="0" applyBorder="1"/>
    <xf numFmtId="0" fontId="0" fillId="0" borderId="21" xfId="0" applyBorder="1"/>
    <xf numFmtId="0" fontId="0" fillId="0" borderId="25" xfId="0" applyFill="1" applyBorder="1"/>
    <xf numFmtId="0" fontId="47" fillId="0" borderId="16" xfId="0" applyFont="1" applyFill="1" applyBorder="1"/>
    <xf numFmtId="0" fontId="0" fillId="0" borderId="27" xfId="0" applyFill="1" applyBorder="1"/>
    <xf numFmtId="0" fontId="0" fillId="0" borderId="0" xfId="0" applyBorder="1"/>
    <xf numFmtId="0" fontId="0" fillId="0" borderId="27" xfId="0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1" xfId="0" applyBorder="1"/>
    <xf numFmtId="0" fontId="0" fillId="0" borderId="53" xfId="0" applyBorder="1" applyAlignment="1">
      <alignment horizontal="center"/>
    </xf>
    <xf numFmtId="0" fontId="0" fillId="0" borderId="12" xfId="0" applyBorder="1" applyAlignment="1">
      <alignment horizontal="center"/>
    </xf>
    <xf numFmtId="0" fontId="53" fillId="0" borderId="50" xfId="0" applyFont="1" applyBorder="1" applyAlignment="1">
      <alignment horizontal="center" vertical="center"/>
    </xf>
    <xf numFmtId="0" fontId="53" fillId="0" borderId="51" xfId="0" applyFont="1" applyBorder="1" applyAlignment="1">
      <alignment horizontal="center" vertical="center"/>
    </xf>
    <xf numFmtId="167" fontId="53" fillId="26" borderId="21" xfId="0" applyNumberFormat="1" applyFont="1" applyFill="1" applyBorder="1" applyAlignment="1">
      <alignment horizontal="center" vertical="center"/>
    </xf>
    <xf numFmtId="167" fontId="53" fillId="26" borderId="27" xfId="0" applyNumberFormat="1" applyFont="1" applyFill="1" applyBorder="1" applyAlignment="1">
      <alignment horizontal="center" vertical="center"/>
    </xf>
    <xf numFmtId="167" fontId="53" fillId="26" borderId="25" xfId="0" applyNumberFormat="1" applyFont="1" applyFill="1" applyBorder="1" applyAlignment="1">
      <alignment horizontal="center" vertical="center"/>
    </xf>
    <xf numFmtId="171" fontId="54" fillId="0" borderId="21" xfId="0" applyNumberFormat="1" applyFont="1" applyBorder="1" applyAlignment="1">
      <alignment horizontal="center" vertical="center"/>
    </xf>
    <xf numFmtId="171" fontId="54" fillId="0" borderId="0" xfId="0" applyNumberFormat="1" applyFont="1" applyBorder="1" applyAlignment="1">
      <alignment horizontal="center" vertical="center"/>
    </xf>
    <xf numFmtId="171" fontId="54" fillId="0" borderId="22" xfId="0" applyNumberFormat="1" applyFont="1" applyBorder="1" applyAlignment="1">
      <alignment horizontal="center" vertical="center"/>
    </xf>
    <xf numFmtId="171" fontId="54" fillId="0" borderId="12" xfId="0" applyNumberFormat="1" applyFont="1" applyBorder="1" applyAlignment="1">
      <alignment horizontal="center" vertical="center"/>
    </xf>
    <xf numFmtId="171" fontId="54" fillId="0" borderId="26" xfId="0" applyNumberFormat="1" applyFont="1" applyBorder="1" applyAlignment="1">
      <alignment horizontal="center" vertical="center"/>
    </xf>
    <xf numFmtId="0" fontId="53" fillId="26" borderId="21" xfId="0" applyFont="1" applyFill="1" applyBorder="1" applyAlignment="1">
      <alignment horizontal="center" vertical="center"/>
    </xf>
    <xf numFmtId="0" fontId="53" fillId="26" borderId="27" xfId="0" applyFont="1" applyFill="1" applyBorder="1" applyAlignment="1">
      <alignment horizontal="center" vertical="center"/>
    </xf>
    <xf numFmtId="0" fontId="53" fillId="26" borderId="25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167" fontId="53" fillId="0" borderId="0" xfId="0" applyNumberFormat="1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vertical="center"/>
    </xf>
    <xf numFmtId="171" fontId="54" fillId="0" borderId="0" xfId="0" applyNumberFormat="1" applyFont="1" applyFill="1" applyBorder="1" applyAlignment="1">
      <alignment horizontal="center" vertical="center"/>
    </xf>
    <xf numFmtId="169" fontId="53" fillId="0" borderId="0" xfId="0" applyNumberFormat="1" applyFont="1" applyFill="1" applyBorder="1" applyAlignment="1">
      <alignment horizontal="center" vertical="center"/>
    </xf>
    <xf numFmtId="0" fontId="53" fillId="0" borderId="0" xfId="0" applyNumberFormat="1" applyFont="1" applyFill="1" applyBorder="1" applyAlignment="1">
      <alignment horizontal="center" vertical="center"/>
    </xf>
    <xf numFmtId="167" fontId="49" fillId="0" borderId="0" xfId="0" applyNumberFormat="1" applyFont="1" applyFill="1" applyBorder="1" applyAlignment="1">
      <alignment horizontal="left" vertical="center"/>
    </xf>
    <xf numFmtId="167" fontId="53" fillId="26" borderId="16" xfId="0" applyNumberFormat="1" applyFont="1" applyFill="1" applyBorder="1" applyAlignment="1">
      <alignment horizontal="center" vertical="center"/>
    </xf>
    <xf numFmtId="0" fontId="53" fillId="0" borderId="16" xfId="0" applyFont="1" applyBorder="1" applyAlignment="1">
      <alignment horizontal="center" vertical="center"/>
    </xf>
    <xf numFmtId="0" fontId="53" fillId="0" borderId="16" xfId="0" applyFont="1" applyBorder="1" applyAlignment="1">
      <alignment vertical="center"/>
    </xf>
    <xf numFmtId="171" fontId="54" fillId="0" borderId="16" xfId="0" applyNumberFormat="1" applyFont="1" applyBorder="1" applyAlignment="1">
      <alignment horizontal="center" vertical="center"/>
    </xf>
    <xf numFmtId="0" fontId="53" fillId="26" borderId="16" xfId="0" applyFont="1" applyFill="1" applyBorder="1" applyAlignment="1">
      <alignment horizontal="center" vertical="center"/>
    </xf>
    <xf numFmtId="0" fontId="47" fillId="0" borderId="0" xfId="0" applyFont="1"/>
    <xf numFmtId="0" fontId="0" fillId="0" borderId="0" xfId="0" applyAlignment="1">
      <alignment horizontal="center"/>
    </xf>
    <xf numFmtId="0" fontId="47" fillId="0" borderId="0" xfId="0" applyFont="1" applyAlignment="1">
      <alignment horizontal="center"/>
    </xf>
    <xf numFmtId="0" fontId="21" fillId="0" borderId="0" xfId="3" applyProtection="1">
      <protection hidden="1"/>
    </xf>
    <xf numFmtId="0" fontId="0" fillId="28" borderId="28" xfId="0" applyFill="1" applyBorder="1" applyAlignment="1" applyProtection="1">
      <alignment horizontal="center" vertical="center" shrinkToFit="1"/>
      <protection locked="0"/>
    </xf>
    <xf numFmtId="0" fontId="0" fillId="28" borderId="14" xfId="0" applyFill="1" applyBorder="1" applyAlignment="1" applyProtection="1">
      <alignment horizontal="center" vertical="center" shrinkToFit="1"/>
      <protection locked="0"/>
    </xf>
    <xf numFmtId="0" fontId="0" fillId="29" borderId="15" xfId="0" applyNumberFormat="1" applyFill="1" applyBorder="1" applyAlignment="1">
      <alignment horizontal="center" vertical="center" shrinkToFit="1"/>
    </xf>
    <xf numFmtId="0" fontId="0" fillId="29" borderId="28" xfId="0" applyNumberFormat="1" applyFill="1" applyBorder="1" applyAlignment="1">
      <alignment horizontal="center" vertical="center" shrinkToFit="1"/>
    </xf>
    <xf numFmtId="0" fontId="0" fillId="29" borderId="14" xfId="0" applyNumberFormat="1" applyFill="1" applyBorder="1" applyAlignment="1">
      <alignment horizontal="center" vertical="center" shrinkToFit="1"/>
    </xf>
    <xf numFmtId="0" fontId="0" fillId="29" borderId="28" xfId="0" applyFill="1" applyBorder="1" applyAlignment="1">
      <alignment horizontal="center" vertical="center" shrinkToFit="1"/>
    </xf>
    <xf numFmtId="0" fontId="0" fillId="29" borderId="14" xfId="0" applyFill="1" applyBorder="1" applyAlignment="1">
      <alignment horizontal="center" vertical="center" shrinkToFit="1"/>
    </xf>
    <xf numFmtId="3" fontId="0" fillId="29" borderId="15" xfId="0" applyNumberFormat="1" applyFill="1" applyBorder="1" applyAlignment="1">
      <alignment horizontal="center" vertical="center" shrinkToFit="1"/>
    </xf>
    <xf numFmtId="3" fontId="0" fillId="29" borderId="28" xfId="0" applyNumberFormat="1" applyFill="1" applyBorder="1" applyAlignment="1">
      <alignment horizontal="center" vertical="center" shrinkToFit="1"/>
    </xf>
    <xf numFmtId="0" fontId="0" fillId="29" borderId="28" xfId="0" applyFill="1" applyBorder="1" applyAlignment="1">
      <alignment vertical="center" shrinkToFit="1"/>
    </xf>
    <xf numFmtId="0" fontId="0" fillId="29" borderId="15" xfId="0" applyFill="1" applyBorder="1" applyAlignment="1">
      <alignment horizontal="center" vertical="center" shrinkToFit="1"/>
    </xf>
    <xf numFmtId="0" fontId="0" fillId="28" borderId="29" xfId="0" applyFill="1" applyBorder="1" applyAlignment="1" applyProtection="1">
      <alignment horizontal="center" vertical="center" shrinkToFit="1"/>
      <protection locked="0"/>
    </xf>
    <xf numFmtId="0" fontId="0" fillId="28" borderId="16" xfId="0" applyFill="1" applyBorder="1" applyAlignment="1" applyProtection="1">
      <alignment horizontal="center" vertical="center" shrinkToFit="1"/>
      <protection locked="0"/>
    </xf>
    <xf numFmtId="0" fontId="0" fillId="29" borderId="18" xfId="0" applyNumberFormat="1" applyFill="1" applyBorder="1" applyAlignment="1">
      <alignment horizontal="center" vertical="center" shrinkToFit="1"/>
    </xf>
    <xf numFmtId="0" fontId="0" fillId="29" borderId="29" xfId="0" applyNumberFormat="1" applyFill="1" applyBorder="1" applyAlignment="1">
      <alignment horizontal="center" vertical="center" shrinkToFit="1"/>
    </xf>
    <xf numFmtId="0" fontId="0" fillId="29" borderId="16" xfId="0" applyNumberFormat="1" applyFill="1" applyBorder="1" applyAlignment="1">
      <alignment horizontal="center" vertical="center" shrinkToFit="1"/>
    </xf>
    <xf numFmtId="0" fontId="0" fillId="29" borderId="29" xfId="0" applyFill="1" applyBorder="1" applyAlignment="1">
      <alignment horizontal="center" vertical="center" shrinkToFit="1"/>
    </xf>
    <xf numFmtId="0" fontId="0" fillId="29" borderId="16" xfId="0" applyFill="1" applyBorder="1" applyAlignment="1">
      <alignment horizontal="center" vertical="center" shrinkToFit="1"/>
    </xf>
    <xf numFmtId="3" fontId="0" fillId="29" borderId="18" xfId="0" applyNumberFormat="1" applyFill="1" applyBorder="1" applyAlignment="1">
      <alignment horizontal="center" vertical="center" shrinkToFit="1"/>
    </xf>
    <xf numFmtId="3" fontId="0" fillId="29" borderId="29" xfId="0" applyNumberFormat="1" applyFill="1" applyBorder="1" applyAlignment="1">
      <alignment horizontal="center" vertical="center" shrinkToFit="1"/>
    </xf>
    <xf numFmtId="0" fontId="0" fillId="29" borderId="29" xfId="0" applyFill="1" applyBorder="1" applyAlignment="1">
      <alignment vertical="center" shrinkToFit="1"/>
    </xf>
    <xf numFmtId="0" fontId="0" fillId="29" borderId="18" xfId="0" applyFill="1" applyBorder="1" applyAlignment="1">
      <alignment horizontal="center" vertical="center" shrinkToFit="1"/>
    </xf>
    <xf numFmtId="0" fontId="0" fillId="28" borderId="30" xfId="0" applyFill="1" applyBorder="1" applyAlignment="1" applyProtection="1">
      <alignment horizontal="center" vertical="center" shrinkToFit="1"/>
      <protection locked="0"/>
    </xf>
    <xf numFmtId="0" fontId="0" fillId="28" borderId="19" xfId="0" applyFill="1" applyBorder="1" applyAlignment="1" applyProtection="1">
      <alignment horizontal="center" vertical="center" shrinkToFit="1"/>
      <protection locked="0"/>
    </xf>
    <xf numFmtId="0" fontId="0" fillId="29" borderId="31" xfId="0" applyNumberFormat="1" applyFill="1" applyBorder="1" applyAlignment="1">
      <alignment horizontal="center" vertical="center" shrinkToFit="1"/>
    </xf>
    <xf numFmtId="0" fontId="0" fillId="29" borderId="30" xfId="0" applyNumberFormat="1" applyFill="1" applyBorder="1" applyAlignment="1">
      <alignment horizontal="center" vertical="center" shrinkToFit="1"/>
    </xf>
    <xf numFmtId="0" fontId="0" fillId="29" borderId="19" xfId="0" applyNumberFormat="1" applyFill="1" applyBorder="1" applyAlignment="1">
      <alignment horizontal="center" vertical="center" shrinkToFit="1"/>
    </xf>
    <xf numFmtId="0" fontId="0" fillId="29" borderId="30" xfId="0" applyFill="1" applyBorder="1" applyAlignment="1">
      <alignment horizontal="center" vertical="center" shrinkToFit="1"/>
    </xf>
    <xf numFmtId="0" fontId="0" fillId="29" borderId="19" xfId="0" applyFill="1" applyBorder="1" applyAlignment="1">
      <alignment horizontal="center" vertical="center" shrinkToFit="1"/>
    </xf>
    <xf numFmtId="3" fontId="0" fillId="29" borderId="31" xfId="0" applyNumberFormat="1" applyFill="1" applyBorder="1" applyAlignment="1">
      <alignment horizontal="center" vertical="center" shrinkToFit="1"/>
    </xf>
    <xf numFmtId="3" fontId="0" fillId="29" borderId="30" xfId="0" applyNumberFormat="1" applyFill="1" applyBorder="1" applyAlignment="1">
      <alignment horizontal="center" vertical="center" shrinkToFit="1"/>
    </xf>
    <xf numFmtId="0" fontId="0" fillId="29" borderId="30" xfId="0" applyFill="1" applyBorder="1" applyAlignment="1">
      <alignment vertical="center" shrinkToFit="1"/>
    </xf>
    <xf numFmtId="0" fontId="0" fillId="29" borderId="31" xfId="0" applyFill="1" applyBorder="1" applyAlignment="1">
      <alignment horizontal="center" vertical="center" shrinkToFit="1"/>
    </xf>
    <xf numFmtId="3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0" fontId="0" fillId="0" borderId="13" xfId="0" applyBorder="1"/>
    <xf numFmtId="0" fontId="0" fillId="0" borderId="10" xfId="0" applyBorder="1" applyAlignment="1">
      <alignment horizontal="center"/>
    </xf>
    <xf numFmtId="172" fontId="0" fillId="31" borderId="16" xfId="0" applyNumberFormat="1" applyFill="1" applyBorder="1"/>
    <xf numFmtId="0" fontId="56" fillId="31" borderId="55" xfId="0" applyFont="1" applyFill="1" applyBorder="1" applyAlignment="1">
      <alignment horizontal="right"/>
    </xf>
    <xf numFmtId="0" fontId="56" fillId="31" borderId="59" xfId="0" applyFont="1" applyFill="1" applyBorder="1" applyAlignment="1">
      <alignment horizontal="right"/>
    </xf>
    <xf numFmtId="0" fontId="56" fillId="31" borderId="60" xfId="0" applyFont="1" applyFill="1" applyBorder="1" applyAlignment="1">
      <alignment horizontal="right"/>
    </xf>
    <xf numFmtId="0" fontId="56" fillId="31" borderId="30" xfId="0" applyFont="1" applyFill="1" applyBorder="1" applyAlignment="1">
      <alignment horizontal="center"/>
    </xf>
    <xf numFmtId="0" fontId="56" fillId="31" borderId="19" xfId="0" applyFont="1" applyFill="1" applyBorder="1" applyAlignment="1">
      <alignment horizontal="center"/>
    </xf>
    <xf numFmtId="0" fontId="56" fillId="31" borderId="31" xfId="0" applyFont="1" applyFill="1" applyBorder="1" applyAlignment="1">
      <alignment horizontal="center"/>
    </xf>
    <xf numFmtId="0" fontId="0" fillId="31" borderId="61" xfId="0" applyFill="1" applyBorder="1" applyAlignment="1">
      <alignment horizontal="center"/>
    </xf>
    <xf numFmtId="0" fontId="0" fillId="0" borderId="29" xfId="0" applyFill="1" applyBorder="1"/>
    <xf numFmtId="0" fontId="0" fillId="0" borderId="16" xfId="0" applyFill="1" applyBorder="1"/>
    <xf numFmtId="0" fontId="0" fillId="27" borderId="29" xfId="0" applyFill="1" applyBorder="1"/>
    <xf numFmtId="0" fontId="0" fillId="27" borderId="16" xfId="0" applyFill="1" applyBorder="1"/>
    <xf numFmtId="0" fontId="0" fillId="31" borderId="59" xfId="0" applyFill="1" applyBorder="1" applyAlignment="1">
      <alignment horizontal="center"/>
    </xf>
    <xf numFmtId="0" fontId="0" fillId="31" borderId="60" xfId="0" applyFill="1" applyBorder="1" applyAlignment="1">
      <alignment horizontal="center"/>
    </xf>
    <xf numFmtId="2" fontId="0" fillId="31" borderId="18" xfId="0" applyNumberFormat="1" applyFill="1" applyBorder="1"/>
    <xf numFmtId="2" fontId="0" fillId="0" borderId="29" xfId="0" applyNumberFormat="1" applyFill="1" applyBorder="1"/>
    <xf numFmtId="2" fontId="0" fillId="0" borderId="16" xfId="0" applyNumberFormat="1" applyFill="1" applyBorder="1"/>
    <xf numFmtId="172" fontId="0" fillId="31" borderId="25" xfId="0" applyNumberFormat="1" applyFill="1" applyBorder="1"/>
    <xf numFmtId="0" fontId="0" fillId="0" borderId="3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30" xfId="0" applyFill="1" applyBorder="1"/>
    <xf numFmtId="0" fontId="0" fillId="0" borderId="19" xfId="0" applyFill="1" applyBorder="1"/>
    <xf numFmtId="172" fontId="0" fillId="31" borderId="19" xfId="0" applyNumberFormat="1" applyFill="1" applyBorder="1"/>
    <xf numFmtId="2" fontId="0" fillId="31" borderId="31" xfId="0" applyNumberFormat="1" applyFill="1" applyBorder="1"/>
    <xf numFmtId="2" fontId="0" fillId="0" borderId="30" xfId="0" applyNumberFormat="1" applyFill="1" applyBorder="1"/>
    <xf numFmtId="2" fontId="0" fillId="0" borderId="19" xfId="0" applyNumberFormat="1" applyFill="1" applyBorder="1"/>
    <xf numFmtId="0" fontId="0" fillId="27" borderId="30" xfId="0" applyFill="1" applyBorder="1"/>
    <xf numFmtId="0" fontId="0" fillId="27" borderId="19" xfId="0" applyFill="1" applyBorder="1"/>
    <xf numFmtId="0" fontId="0" fillId="0" borderId="28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Fill="1" applyBorder="1" applyAlignment="1">
      <alignment horizontal="center"/>
    </xf>
    <xf numFmtId="172" fontId="0" fillId="0" borderId="0" xfId="0" applyNumberFormat="1" applyFill="1" applyBorder="1"/>
    <xf numFmtId="2" fontId="0" fillId="0" borderId="0" xfId="0" applyNumberFormat="1" applyFill="1" applyBorder="1"/>
    <xf numFmtId="0" fontId="0" fillId="0" borderId="1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31" borderId="63" xfId="0" applyFill="1" applyBorder="1" applyAlignment="1">
      <alignment horizontal="center"/>
    </xf>
    <xf numFmtId="0" fontId="0" fillId="0" borderId="64" xfId="0" applyFill="1" applyBorder="1"/>
    <xf numFmtId="0" fontId="0" fillId="0" borderId="21" xfId="0" applyFill="1" applyBorder="1"/>
    <xf numFmtId="172" fontId="0" fillId="31" borderId="21" xfId="0" applyNumberFormat="1" applyFill="1" applyBorder="1"/>
    <xf numFmtId="2" fontId="0" fillId="31" borderId="65" xfId="0" applyNumberFormat="1" applyFill="1" applyBorder="1"/>
    <xf numFmtId="0" fontId="0" fillId="0" borderId="62" xfId="0" applyFill="1" applyBorder="1" applyAlignment="1">
      <alignment horizontal="center"/>
    </xf>
    <xf numFmtId="0" fontId="0" fillId="0" borderId="62" xfId="0" applyFill="1" applyBorder="1"/>
    <xf numFmtId="172" fontId="0" fillId="0" borderId="62" xfId="0" applyNumberFormat="1" applyFill="1" applyBorder="1"/>
    <xf numFmtId="2" fontId="0" fillId="0" borderId="62" xfId="0" applyNumberFormat="1" applyFill="1" applyBorder="1"/>
    <xf numFmtId="0" fontId="47" fillId="0" borderId="21" xfId="0" applyFont="1" applyBorder="1"/>
    <xf numFmtId="0" fontId="0" fillId="0" borderId="21" xfId="0" applyBorder="1" applyAlignment="1">
      <alignment horizontal="center"/>
    </xf>
    <xf numFmtId="0" fontId="0" fillId="0" borderId="17" xfId="0" applyFill="1" applyBorder="1"/>
    <xf numFmtId="0" fontId="0" fillId="0" borderId="24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22" xfId="0" applyBorder="1"/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57" fillId="0" borderId="28" xfId="0" applyFont="1" applyBorder="1" applyAlignment="1">
      <alignment horizontal="center" vertical="center"/>
    </xf>
    <xf numFmtId="0" fontId="57" fillId="0" borderId="29" xfId="0" applyFont="1" applyBorder="1" applyAlignment="1">
      <alignment horizontal="center" vertical="center"/>
    </xf>
    <xf numFmtId="0" fontId="57" fillId="0" borderId="30" xfId="0" applyFont="1" applyBorder="1" applyAlignment="1">
      <alignment horizontal="center" vertical="center"/>
    </xf>
    <xf numFmtId="168" fontId="53" fillId="26" borderId="53" xfId="0" applyNumberFormat="1" applyFont="1" applyFill="1" applyBorder="1" applyAlignment="1">
      <alignment horizontal="center" vertical="center"/>
    </xf>
    <xf numFmtId="168" fontId="53" fillId="26" borderId="0" xfId="0" applyNumberFormat="1" applyFont="1" applyFill="1" applyBorder="1" applyAlignment="1">
      <alignment horizontal="center" vertical="center"/>
    </xf>
    <xf numFmtId="168" fontId="53" fillId="26" borderId="24" xfId="0" applyNumberFormat="1" applyFont="1" applyFill="1" applyBorder="1" applyAlignment="1">
      <alignment horizontal="center" vertical="center"/>
    </xf>
    <xf numFmtId="0" fontId="0" fillId="0" borderId="0" xfId="0" applyAlignment="1" applyProtection="1">
      <alignment horizontal="center"/>
    </xf>
    <xf numFmtId="0" fontId="49" fillId="26" borderId="54" xfId="0" applyFont="1" applyFill="1" applyBorder="1" applyAlignment="1">
      <alignment horizontal="center" vertical="center"/>
    </xf>
    <xf numFmtId="0" fontId="0" fillId="0" borderId="28" xfId="0" applyBorder="1" applyAlignment="1">
      <alignment horizontal="center"/>
    </xf>
    <xf numFmtId="0" fontId="0" fillId="0" borderId="15" xfId="0" applyBorder="1" applyAlignment="1">
      <alignment horizontal="center"/>
    </xf>
    <xf numFmtId="0" fontId="53" fillId="26" borderId="20" xfId="0" applyFont="1" applyFill="1" applyBorder="1" applyAlignment="1">
      <alignment horizontal="center" vertical="center"/>
    </xf>
    <xf numFmtId="173" fontId="0" fillId="26" borderId="57" xfId="0" quotePrefix="1" applyNumberFormat="1" applyFont="1" applyFill="1" applyBorder="1" applyAlignment="1">
      <alignment horizontal="center" vertical="center"/>
    </xf>
    <xf numFmtId="0" fontId="0" fillId="26" borderId="30" xfId="0" applyFont="1" applyFill="1" applyBorder="1" applyAlignment="1">
      <alignment horizontal="center" vertical="center"/>
    </xf>
    <xf numFmtId="0" fontId="0" fillId="26" borderId="19" xfId="0" applyFont="1" applyFill="1" applyBorder="1" applyAlignment="1">
      <alignment horizontal="center" vertical="center"/>
    </xf>
    <xf numFmtId="0" fontId="0" fillId="26" borderId="69" xfId="0" quotePrefix="1" applyFont="1" applyFill="1" applyBorder="1" applyAlignment="1">
      <alignment horizontal="center" vertical="center"/>
    </xf>
    <xf numFmtId="0" fontId="0" fillId="26" borderId="31" xfId="0" applyFont="1" applyFill="1" applyBorder="1" applyAlignment="1">
      <alignment horizontal="center" vertical="center"/>
    </xf>
    <xf numFmtId="174" fontId="0" fillId="30" borderId="16" xfId="0" applyNumberFormat="1" applyFill="1" applyBorder="1" applyAlignment="1" applyProtection="1">
      <alignment horizontal="center" vertical="center"/>
      <protection locked="0"/>
    </xf>
    <xf numFmtId="4" fontId="0" fillId="0" borderId="26" xfId="0" applyNumberFormat="1" applyBorder="1" applyAlignment="1" applyProtection="1">
      <alignment horizontal="center" vertical="center"/>
    </xf>
    <xf numFmtId="3" fontId="0" fillId="30" borderId="72" xfId="0" applyNumberFormat="1" applyFill="1" applyBorder="1" applyAlignment="1" applyProtection="1">
      <alignment horizontal="center" vertical="center"/>
      <protection locked="0"/>
    </xf>
    <xf numFmtId="173" fontId="0" fillId="30" borderId="25" xfId="0" applyNumberFormat="1" applyFill="1" applyBorder="1" applyAlignment="1" applyProtection="1">
      <alignment horizontal="center" vertical="center"/>
      <protection locked="0"/>
    </xf>
    <xf numFmtId="173" fontId="0" fillId="0" borderId="25" xfId="0" applyNumberFormat="1" applyFill="1" applyBorder="1" applyAlignment="1" applyProtection="1">
      <alignment horizontal="center" vertical="center"/>
    </xf>
    <xf numFmtId="173" fontId="0" fillId="0" borderId="25" xfId="0" applyNumberFormat="1" applyBorder="1" applyAlignment="1" applyProtection="1">
      <alignment horizontal="center" vertical="center"/>
    </xf>
    <xf numFmtId="168" fontId="57" fillId="0" borderId="73" xfId="0" applyNumberFormat="1" applyFont="1" applyBorder="1" applyAlignment="1">
      <alignment horizontal="center"/>
    </xf>
    <xf numFmtId="0" fontId="57" fillId="0" borderId="59" xfId="0" applyFont="1" applyFill="1" applyBorder="1" applyAlignment="1">
      <alignment horizontal="left" vertical="center"/>
    </xf>
    <xf numFmtId="173" fontId="0" fillId="30" borderId="16" xfId="0" applyNumberFormat="1" applyFill="1" applyBorder="1" applyAlignment="1" applyProtection="1">
      <alignment horizontal="center" vertical="center"/>
      <protection locked="0"/>
    </xf>
    <xf numFmtId="3" fontId="0" fillId="30" borderId="16" xfId="0" applyNumberFormat="1" applyFill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center" vertical="center"/>
    </xf>
    <xf numFmtId="4" fontId="0" fillId="0" borderId="20" xfId="0" applyNumberFormat="1" applyBorder="1" applyAlignment="1" applyProtection="1">
      <alignment horizontal="center" vertical="center"/>
    </xf>
    <xf numFmtId="3" fontId="0" fillId="30" borderId="29" xfId="0" applyNumberFormat="1" applyFill="1" applyBorder="1" applyAlignment="1" applyProtection="1">
      <alignment horizontal="center" vertical="center"/>
      <protection locked="0"/>
    </xf>
    <xf numFmtId="173" fontId="0" fillId="0" borderId="16" xfId="0" applyNumberFormat="1" applyFill="1" applyBorder="1" applyAlignment="1" applyProtection="1">
      <alignment horizontal="center" vertical="center"/>
    </xf>
    <xf numFmtId="173" fontId="0" fillId="0" borderId="16" xfId="0" applyNumberFormat="1" applyBorder="1" applyAlignment="1" applyProtection="1">
      <alignment horizontal="center" vertical="center"/>
    </xf>
    <xf numFmtId="168" fontId="0" fillId="0" borderId="18" xfId="0" applyNumberFormat="1" applyBorder="1" applyAlignment="1">
      <alignment horizontal="center"/>
    </xf>
    <xf numFmtId="173" fontId="0" fillId="30" borderId="21" xfId="0" applyNumberFormat="1" applyFill="1" applyBorder="1" applyAlignment="1" applyProtection="1">
      <alignment horizontal="center" vertical="center"/>
      <protection locked="0"/>
    </xf>
    <xf numFmtId="3" fontId="0" fillId="30" borderId="21" xfId="0" applyNumberFormat="1" applyFill="1" applyBorder="1" applyAlignment="1" applyProtection="1">
      <alignment horizontal="center" vertical="center"/>
      <protection locked="0"/>
    </xf>
    <xf numFmtId="4" fontId="0" fillId="0" borderId="12" xfId="0" applyNumberFormat="1" applyBorder="1" applyAlignment="1" applyProtection="1">
      <alignment horizontal="center" vertical="center"/>
    </xf>
    <xf numFmtId="4" fontId="0" fillId="0" borderId="11" xfId="0" applyNumberFormat="1" applyBorder="1" applyAlignment="1" applyProtection="1">
      <alignment horizontal="center" vertical="center"/>
    </xf>
    <xf numFmtId="0" fontId="57" fillId="0" borderId="60" xfId="0" applyFont="1" applyFill="1" applyBorder="1" applyAlignment="1">
      <alignment horizontal="left" vertical="center"/>
    </xf>
    <xf numFmtId="173" fontId="0" fillId="30" borderId="19" xfId="0" applyNumberFormat="1" applyFill="1" applyBorder="1" applyAlignment="1" applyProtection="1">
      <alignment horizontal="center" vertical="center"/>
      <protection locked="0"/>
    </xf>
    <xf numFmtId="3" fontId="0" fillId="30" borderId="19" xfId="0" applyNumberFormat="1" applyFill="1" applyBorder="1" applyAlignment="1" applyProtection="1">
      <alignment horizontal="center" vertical="center"/>
      <protection locked="0"/>
    </xf>
    <xf numFmtId="4" fontId="0" fillId="0" borderId="74" xfId="0" applyNumberFormat="1" applyBorder="1" applyAlignment="1" applyProtection="1">
      <alignment horizontal="center" vertical="center"/>
    </xf>
    <xf numFmtId="4" fontId="0" fillId="0" borderId="70" xfId="0" applyNumberFormat="1" applyBorder="1" applyAlignment="1" applyProtection="1">
      <alignment horizontal="center" vertical="center"/>
    </xf>
    <xf numFmtId="173" fontId="0" fillId="0" borderId="19" xfId="0" applyNumberFormat="1" applyFill="1" applyBorder="1" applyAlignment="1" applyProtection="1">
      <alignment horizontal="center" vertical="center"/>
    </xf>
    <xf numFmtId="173" fontId="0" fillId="0" borderId="19" xfId="0" applyNumberFormat="1" applyBorder="1" applyAlignment="1" applyProtection="1">
      <alignment horizontal="center" vertical="center"/>
    </xf>
    <xf numFmtId="168" fontId="0" fillId="0" borderId="31" xfId="0" applyNumberFormat="1" applyBorder="1" applyAlignment="1">
      <alignment horizontal="center"/>
    </xf>
    <xf numFmtId="174" fontId="0" fillId="30" borderId="19" xfId="0" applyNumberFormat="1" applyFill="1" applyBorder="1" applyAlignment="1" applyProtection="1">
      <alignment horizontal="center" vertical="center"/>
      <protection locked="0"/>
    </xf>
    <xf numFmtId="173" fontId="0" fillId="30" borderId="69" xfId="0" applyNumberFormat="1" applyFill="1" applyBorder="1" applyAlignment="1" applyProtection="1">
      <alignment horizontal="center" vertical="center"/>
      <protection locked="0"/>
    </xf>
    <xf numFmtId="3" fontId="0" fillId="30" borderId="64" xfId="0" applyNumberFormat="1" applyFill="1" applyBorder="1" applyAlignment="1" applyProtection="1">
      <alignment horizontal="center" vertical="center"/>
      <protection locked="0"/>
    </xf>
    <xf numFmtId="3" fontId="0" fillId="30" borderId="30" xfId="0" applyNumberFormat="1" applyFill="1" applyBorder="1" applyAlignment="1" applyProtection="1">
      <alignment horizontal="center" vertical="center"/>
      <protection locked="0"/>
    </xf>
    <xf numFmtId="0" fontId="57" fillId="0" borderId="61" xfId="0" applyFont="1" applyFill="1" applyBorder="1" applyAlignment="1">
      <alignment horizontal="left" vertical="center"/>
    </xf>
    <xf numFmtId="3" fontId="0" fillId="30" borderId="25" xfId="0" applyNumberFormat="1" applyFill="1" applyBorder="1" applyAlignment="1" applyProtection="1">
      <alignment horizontal="center" vertical="center"/>
      <protection locked="0"/>
    </xf>
    <xf numFmtId="174" fontId="0" fillId="30" borderId="25" xfId="0" applyNumberFormat="1" applyFill="1" applyBorder="1" applyAlignment="1" applyProtection="1">
      <alignment horizontal="center" vertical="center"/>
      <protection locked="0"/>
    </xf>
    <xf numFmtId="4" fontId="0" fillId="0" borderId="17" xfId="0" applyNumberFormat="1" applyBorder="1" applyAlignment="1" applyProtection="1">
      <alignment horizontal="center" vertical="center"/>
    </xf>
    <xf numFmtId="173" fontId="0" fillId="30" borderId="73" xfId="0" applyNumberFormat="1" applyFill="1" applyBorder="1" applyAlignment="1" applyProtection="1">
      <alignment horizontal="center" vertical="center"/>
      <protection locked="0"/>
    </xf>
    <xf numFmtId="173" fontId="0" fillId="30" borderId="18" xfId="0" applyNumberFormat="1" applyFill="1" applyBorder="1" applyAlignment="1" applyProtection="1">
      <alignment horizontal="center" vertical="center"/>
      <protection locked="0"/>
    </xf>
    <xf numFmtId="173" fontId="0" fillId="30" borderId="65" xfId="0" applyNumberFormat="1" applyFill="1" applyBorder="1" applyAlignment="1" applyProtection="1">
      <alignment horizontal="center" vertical="center"/>
      <protection locked="0"/>
    </xf>
    <xf numFmtId="173" fontId="0" fillId="30" borderId="31" xfId="0" applyNumberFormat="1" applyFill="1" applyBorder="1" applyAlignment="1" applyProtection="1">
      <alignment horizontal="center" vertical="center"/>
      <protection locked="0"/>
    </xf>
    <xf numFmtId="173" fontId="0" fillId="26" borderId="56" xfId="0" quotePrefix="1" applyNumberFormat="1" applyFont="1" applyFill="1" applyBorder="1" applyAlignment="1">
      <alignment horizontal="center" vertical="center"/>
    </xf>
    <xf numFmtId="173" fontId="0" fillId="26" borderId="58" xfId="0" quotePrefix="1" applyNumberFormat="1" applyFont="1" applyFill="1" applyBorder="1" applyAlignment="1">
      <alignment horizontal="center" vertical="center"/>
    </xf>
    <xf numFmtId="0" fontId="0" fillId="26" borderId="75" xfId="0" quotePrefix="1" applyFont="1" applyFill="1" applyBorder="1" applyAlignment="1">
      <alignment horizontal="center" vertical="center"/>
    </xf>
    <xf numFmtId="0" fontId="0" fillId="26" borderId="76" xfId="0" quotePrefix="1" applyFont="1" applyFill="1" applyBorder="1" applyAlignment="1">
      <alignment horizontal="center" vertical="center"/>
    </xf>
    <xf numFmtId="174" fontId="0" fillId="30" borderId="72" xfId="0" applyNumberFormat="1" applyFill="1" applyBorder="1" applyAlignment="1" applyProtection="1">
      <alignment horizontal="center" vertical="center"/>
      <protection locked="0"/>
    </xf>
    <xf numFmtId="174" fontId="0" fillId="30" borderId="73" xfId="0" applyNumberFormat="1" applyFill="1" applyBorder="1" applyAlignment="1" applyProtection="1">
      <alignment horizontal="center" vertical="center"/>
      <protection locked="0"/>
    </xf>
    <xf numFmtId="174" fontId="0" fillId="30" borderId="29" xfId="0" applyNumberFormat="1" applyFill="1" applyBorder="1" applyAlignment="1" applyProtection="1">
      <alignment horizontal="center" vertical="center"/>
      <protection locked="0"/>
    </xf>
    <xf numFmtId="174" fontId="0" fillId="30" borderId="18" xfId="0" applyNumberFormat="1" applyFill="1" applyBorder="1" applyAlignment="1" applyProtection="1">
      <alignment horizontal="center" vertical="center"/>
      <protection locked="0"/>
    </xf>
    <xf numFmtId="174" fontId="0" fillId="30" borderId="30" xfId="0" applyNumberFormat="1" applyFill="1" applyBorder="1" applyAlignment="1" applyProtection="1">
      <alignment horizontal="center" vertical="center"/>
      <protection locked="0"/>
    </xf>
    <xf numFmtId="174" fontId="0" fillId="30" borderId="31" xfId="0" applyNumberFormat="1" applyFill="1" applyBorder="1" applyAlignment="1" applyProtection="1">
      <alignment horizontal="center" vertical="center"/>
      <protection locked="0"/>
    </xf>
    <xf numFmtId="0" fontId="0" fillId="30" borderId="25" xfId="0" applyNumberFormat="1" applyFill="1" applyBorder="1" applyAlignment="1" applyProtection="1">
      <alignment horizontal="center" vertical="center"/>
      <protection locked="0"/>
    </xf>
    <xf numFmtId="0" fontId="0" fillId="30" borderId="16" xfId="0" applyNumberFormat="1" applyFill="1" applyBorder="1" applyAlignment="1" applyProtection="1">
      <alignment horizontal="center" vertical="center"/>
      <protection locked="0"/>
    </xf>
    <xf numFmtId="0" fontId="0" fillId="30" borderId="21" xfId="0" applyNumberFormat="1" applyFill="1" applyBorder="1" applyAlignment="1" applyProtection="1">
      <alignment horizontal="center" vertical="center"/>
      <protection locked="0"/>
    </xf>
    <xf numFmtId="0" fontId="0" fillId="30" borderId="19" xfId="0" applyNumberFormat="1" applyFill="1" applyBorder="1" applyAlignment="1" applyProtection="1">
      <alignment horizontal="center" vertical="center"/>
      <protection locked="0"/>
    </xf>
    <xf numFmtId="0" fontId="0" fillId="26" borderId="19" xfId="0" quotePrefix="1" applyFont="1" applyFill="1" applyBorder="1" applyAlignment="1">
      <alignment horizontal="center" vertical="center"/>
    </xf>
    <xf numFmtId="0" fontId="0" fillId="0" borderId="13" xfId="0" applyFill="1" applyBorder="1"/>
    <xf numFmtId="0" fontId="0" fillId="0" borderId="10" xfId="0" applyFill="1" applyBorder="1" applyAlignment="1">
      <alignment horizontal="center"/>
    </xf>
    <xf numFmtId="168" fontId="0" fillId="0" borderId="0" xfId="0" applyNumberFormat="1" applyAlignment="1">
      <alignment horizontal="center"/>
    </xf>
    <xf numFmtId="169" fontId="53" fillId="30" borderId="20" xfId="0" applyNumberFormat="1" applyFont="1" applyFill="1" applyBorder="1" applyAlignment="1">
      <alignment horizontal="center" vertical="center"/>
    </xf>
    <xf numFmtId="169" fontId="53" fillId="30" borderId="22" xfId="0" applyNumberFormat="1" applyFont="1" applyFill="1" applyBorder="1" applyAlignment="1">
      <alignment horizontal="center" vertical="center"/>
    </xf>
    <xf numFmtId="168" fontId="53" fillId="26" borderId="22" xfId="0" applyNumberFormat="1" applyFont="1" applyFill="1" applyBorder="1" applyAlignment="1">
      <alignment horizontal="center" vertical="center"/>
    </xf>
    <xf numFmtId="173" fontId="53" fillId="26" borderId="22" xfId="0" applyNumberFormat="1" applyFont="1" applyFill="1" applyBorder="1" applyAlignment="1">
      <alignment horizontal="center" vertical="center"/>
    </xf>
    <xf numFmtId="9" fontId="0" fillId="0" borderId="0" xfId="0" applyNumberFormat="1" applyAlignment="1">
      <alignment horizontal="center"/>
    </xf>
    <xf numFmtId="3" fontId="47" fillId="0" borderId="0" xfId="0" applyNumberFormat="1" applyFont="1" applyAlignment="1">
      <alignment horizontal="center"/>
    </xf>
    <xf numFmtId="0" fontId="0" fillId="0" borderId="39" xfId="0" applyBorder="1"/>
    <xf numFmtId="0" fontId="0" fillId="0" borderId="77" xfId="0" applyBorder="1" applyAlignment="1">
      <alignment horizontal="center"/>
    </xf>
    <xf numFmtId="0" fontId="55" fillId="0" borderId="78" xfId="0" applyFont="1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38" xfId="0" applyBorder="1"/>
    <xf numFmtId="0" fontId="0" fillId="0" borderId="38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80" xfId="0" applyBorder="1" applyAlignment="1">
      <alignment horizontal="center"/>
    </xf>
    <xf numFmtId="0" fontId="61" fillId="0" borderId="0" xfId="0" applyFont="1" applyAlignment="1">
      <alignment horizontal="center" vertical="center"/>
    </xf>
    <xf numFmtId="0" fontId="0" fillId="0" borderId="81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83" xfId="0" applyBorder="1" applyAlignment="1">
      <alignment horizontal="center"/>
    </xf>
    <xf numFmtId="0" fontId="17" fillId="0" borderId="16" xfId="0" applyFont="1" applyBorder="1"/>
    <xf numFmtId="0" fontId="0" fillId="0" borderId="20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24" xfId="0" applyBorder="1"/>
    <xf numFmtId="0" fontId="0" fillId="0" borderId="24" xfId="0" applyBorder="1" applyAlignment="1">
      <alignment horizontal="center"/>
    </xf>
    <xf numFmtId="0" fontId="0" fillId="0" borderId="16" xfId="0" applyBorder="1" applyAlignment="1">
      <alignment horizontal="left"/>
    </xf>
    <xf numFmtId="0" fontId="55" fillId="0" borderId="16" xfId="0" applyFont="1" applyBorder="1" applyAlignment="1">
      <alignment horizontal="left"/>
    </xf>
    <xf numFmtId="0" fontId="0" fillId="0" borderId="32" xfId="0" applyBorder="1"/>
    <xf numFmtId="0" fontId="0" fillId="0" borderId="56" xfId="0" applyBorder="1" applyAlignment="1">
      <alignment horizontal="center"/>
    </xf>
    <xf numFmtId="0" fontId="55" fillId="0" borderId="58" xfId="0" applyFont="1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62" xfId="0" applyBorder="1"/>
    <xf numFmtId="0" fontId="55" fillId="0" borderId="62" xfId="0" applyFont="1" applyBorder="1" applyAlignment="1">
      <alignment horizontal="center"/>
    </xf>
    <xf numFmtId="0" fontId="21" fillId="2" borderId="0" xfId="3" applyFill="1" applyProtection="1">
      <protection hidden="1"/>
    </xf>
    <xf numFmtId="0" fontId="64" fillId="0" borderId="0" xfId="3" applyFont="1" applyFill="1" applyBorder="1" applyProtection="1">
      <protection hidden="1"/>
    </xf>
    <xf numFmtId="0" fontId="64" fillId="2" borderId="0" xfId="3" applyFont="1" applyFill="1" applyProtection="1">
      <protection hidden="1"/>
    </xf>
    <xf numFmtId="0" fontId="64" fillId="0" borderId="0" xfId="3" applyFont="1" applyProtection="1">
      <protection hidden="1"/>
    </xf>
    <xf numFmtId="0" fontId="65" fillId="0" borderId="0" xfId="135" applyFont="1" applyFill="1" applyBorder="1" applyAlignment="1" applyProtection="1">
      <alignment horizontal="center" vertical="center"/>
      <protection hidden="1"/>
    </xf>
    <xf numFmtId="0" fontId="66" fillId="0" borderId="0" xfId="0" applyFont="1" applyFill="1" applyBorder="1" applyAlignment="1">
      <alignment horizontal="left" vertical="center" wrapText="1"/>
    </xf>
    <xf numFmtId="0" fontId="20" fillId="0" borderId="0" xfId="0" applyFont="1" applyFill="1"/>
    <xf numFmtId="0" fontId="18" fillId="0" borderId="0" xfId="0" applyFont="1" applyFill="1" applyBorder="1" applyAlignment="1">
      <alignment horizontal="center" vertical="center"/>
    </xf>
    <xf numFmtId="0" fontId="67" fillId="0" borderId="0" xfId="0" applyFont="1" applyBorder="1" applyAlignment="1">
      <alignment horizontal="justify" vertical="center" wrapText="1"/>
    </xf>
    <xf numFmtId="0" fontId="67" fillId="0" borderId="53" xfId="0" applyFont="1" applyBorder="1" applyAlignment="1">
      <alignment horizontal="justify" vertical="center" wrapText="1"/>
    </xf>
    <xf numFmtId="0" fontId="0" fillId="0" borderId="17" xfId="0" applyBorder="1"/>
    <xf numFmtId="0" fontId="67" fillId="0" borderId="24" xfId="0" applyFont="1" applyBorder="1" applyAlignment="1">
      <alignment horizontal="justify" vertical="center" wrapText="1"/>
    </xf>
    <xf numFmtId="0" fontId="47" fillId="26" borderId="21" xfId="0" applyFont="1" applyFill="1" applyBorder="1" applyAlignment="1">
      <alignment horizontal="center" vertical="center"/>
    </xf>
    <xf numFmtId="0" fontId="47" fillId="26" borderId="25" xfId="0" applyFont="1" applyFill="1" applyBorder="1" applyAlignment="1">
      <alignment horizontal="center" vertical="center"/>
    </xf>
    <xf numFmtId="0" fontId="47" fillId="26" borderId="16" xfId="0" applyFont="1" applyFill="1" applyBorder="1" applyAlignment="1">
      <alignment horizontal="center" vertical="center"/>
    </xf>
    <xf numFmtId="0" fontId="47" fillId="26" borderId="16" xfId="0" applyFont="1" applyFill="1" applyBorder="1" applyAlignment="1">
      <alignment horizontal="center" vertical="center"/>
    </xf>
    <xf numFmtId="0" fontId="47" fillId="26" borderId="27" xfId="0" applyFont="1" applyFill="1" applyBorder="1" applyAlignment="1">
      <alignment horizontal="center" vertical="center"/>
    </xf>
    <xf numFmtId="0" fontId="11" fillId="0" borderId="21" xfId="0" applyFont="1" applyBorder="1"/>
    <xf numFmtId="0" fontId="47" fillId="0" borderId="16" xfId="0" applyFont="1" applyBorder="1" applyProtection="1"/>
    <xf numFmtId="0" fontId="11" fillId="0" borderId="16" xfId="0" applyFont="1" applyBorder="1" applyAlignment="1" applyProtection="1">
      <alignment horizontal="center"/>
    </xf>
    <xf numFmtId="0" fontId="47" fillId="0" borderId="16" xfId="0" applyFont="1" applyBorder="1" applyAlignment="1" applyProtection="1">
      <alignment horizontal="left"/>
    </xf>
    <xf numFmtId="0" fontId="11" fillId="0" borderId="16" xfId="0" applyFont="1" applyBorder="1" applyAlignment="1" applyProtection="1">
      <alignment horizontal="center" wrapText="1"/>
    </xf>
    <xf numFmtId="0" fontId="9" fillId="0" borderId="16" xfId="0" applyFont="1" applyBorder="1" applyAlignment="1" applyProtection="1">
      <alignment horizontal="center"/>
    </xf>
    <xf numFmtId="0" fontId="47" fillId="0" borderId="21" xfId="0" applyFont="1" applyBorder="1" applyAlignment="1" applyProtection="1">
      <alignment horizontal="left"/>
    </xf>
    <xf numFmtId="0" fontId="0" fillId="0" borderId="27" xfId="0" applyBorder="1" applyAlignment="1" applyProtection="1">
      <alignment horizontal="center"/>
    </xf>
    <xf numFmtId="0" fontId="47" fillId="0" borderId="22" xfId="0" applyFont="1" applyBorder="1" applyAlignment="1" applyProtection="1">
      <alignment horizontal="left"/>
    </xf>
    <xf numFmtId="0" fontId="11" fillId="0" borderId="22" xfId="0" applyFont="1" applyBorder="1" applyAlignment="1" applyProtection="1">
      <alignment horizontal="center" wrapText="1"/>
    </xf>
    <xf numFmtId="0" fontId="46" fillId="0" borderId="16" xfId="0" applyFont="1" applyBorder="1" applyAlignment="1" applyProtection="1">
      <alignment horizontal="center" vertical="center"/>
      <protection locked="0"/>
    </xf>
    <xf numFmtId="0" fontId="46" fillId="0" borderId="16" xfId="0" applyFont="1" applyBorder="1" applyAlignment="1" applyProtection="1">
      <alignment horizontal="center" vertical="center"/>
    </xf>
    <xf numFmtId="0" fontId="45" fillId="0" borderId="16" xfId="0" applyFont="1" applyBorder="1" applyAlignment="1" applyProtection="1">
      <alignment vertical="center"/>
    </xf>
    <xf numFmtId="0" fontId="0" fillId="0" borderId="11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3" xfId="0" applyBorder="1" applyAlignment="1">
      <alignment vertical="center"/>
    </xf>
    <xf numFmtId="1" fontId="0" fillId="0" borderId="53" xfId="0" applyNumberFormat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24" xfId="0" applyBorder="1" applyAlignment="1">
      <alignment horizontal="center" vertical="center"/>
    </xf>
    <xf numFmtId="1" fontId="0" fillId="0" borderId="24" xfId="0" applyNumberFormat="1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0" borderId="16" xfId="0" quotePrefix="1" applyBorder="1"/>
    <xf numFmtId="0" fontId="47" fillId="0" borderId="20" xfId="0" applyFont="1" applyBorder="1"/>
    <xf numFmtId="0" fontId="47" fillId="0" borderId="13" xfId="0" applyFont="1" applyBorder="1"/>
    <xf numFmtId="0" fontId="67" fillId="0" borderId="13" xfId="0" applyFont="1" applyBorder="1" applyAlignment="1">
      <alignment horizontal="center" vertical="center" wrapText="1"/>
    </xf>
    <xf numFmtId="0" fontId="83" fillId="0" borderId="16" xfId="0" applyFont="1" applyBorder="1"/>
    <xf numFmtId="0" fontId="46" fillId="0" borderId="16" xfId="0" applyFont="1" applyBorder="1" applyAlignment="1" applyProtection="1">
      <alignment horizontal="left" vertical="center"/>
    </xf>
    <xf numFmtId="0" fontId="0" fillId="0" borderId="16" xfId="0" applyBorder="1" applyProtection="1"/>
    <xf numFmtId="0" fontId="45" fillId="0" borderId="16" xfId="0" applyFont="1" applyFill="1" applyBorder="1" applyAlignment="1" applyProtection="1">
      <alignment vertical="center"/>
    </xf>
    <xf numFmtId="0" fontId="45" fillId="0" borderId="16" xfId="0" applyFont="1" applyBorder="1" applyProtection="1"/>
    <xf numFmtId="0" fontId="84" fillId="0" borderId="0" xfId="3" applyFont="1" applyFill="1" applyBorder="1" applyAlignment="1" applyProtection="1">
      <alignment vertical="center"/>
      <protection hidden="1"/>
    </xf>
    <xf numFmtId="0" fontId="21" fillId="0" borderId="0" xfId="3" applyFont="1" applyFill="1" applyProtection="1">
      <protection hidden="1"/>
    </xf>
    <xf numFmtId="0" fontId="21" fillId="0" borderId="0" xfId="3" applyFont="1" applyFill="1" applyAlignment="1" applyProtection="1">
      <alignment horizontal="left"/>
      <protection hidden="1"/>
    </xf>
    <xf numFmtId="0" fontId="89" fillId="0" borderId="0" xfId="3" applyFont="1" applyFill="1" applyProtection="1">
      <protection hidden="1"/>
    </xf>
    <xf numFmtId="0" fontId="86" fillId="0" borderId="0" xfId="3" applyFont="1" applyFill="1" applyBorder="1" applyAlignment="1" applyProtection="1">
      <alignment vertical="center" wrapText="1"/>
      <protection hidden="1"/>
    </xf>
    <xf numFmtId="0" fontId="87" fillId="0" borderId="0" xfId="3" applyFont="1" applyFill="1" applyBorder="1" applyAlignment="1" applyProtection="1">
      <alignment vertical="center" wrapText="1"/>
      <protection hidden="1"/>
    </xf>
    <xf numFmtId="0" fontId="87" fillId="0" borderId="0" xfId="135" applyFont="1" applyFill="1" applyBorder="1" applyAlignment="1" applyProtection="1">
      <alignment vertical="center"/>
      <protection hidden="1"/>
    </xf>
    <xf numFmtId="0" fontId="91" fillId="0" borderId="0" xfId="3" applyFont="1" applyFill="1" applyBorder="1" applyAlignment="1" applyProtection="1">
      <alignment vertical="center"/>
      <protection hidden="1"/>
    </xf>
    <xf numFmtId="0" fontId="21" fillId="0" borderId="0" xfId="3" applyFont="1" applyFill="1" applyBorder="1" applyAlignment="1" applyProtection="1">
      <alignment vertical="center"/>
      <protection hidden="1"/>
    </xf>
    <xf numFmtId="0" fontId="85" fillId="0" borderId="0" xfId="3" applyFont="1" applyFill="1" applyBorder="1" applyAlignment="1" applyProtection="1">
      <alignment vertical="center"/>
      <protection hidden="1"/>
    </xf>
    <xf numFmtId="0" fontId="21" fillId="0" borderId="0" xfId="3" applyFont="1" applyFill="1" applyAlignment="1" applyProtection="1">
      <alignment vertical="center"/>
      <protection hidden="1"/>
    </xf>
    <xf numFmtId="0" fontId="55" fillId="0" borderId="0" xfId="3" applyFont="1" applyFill="1" applyBorder="1" applyAlignment="1" applyProtection="1">
      <alignment vertical="center"/>
      <protection hidden="1"/>
    </xf>
    <xf numFmtId="0" fontId="21" fillId="0" borderId="0" xfId="3" applyFont="1" applyFill="1" applyBorder="1" applyAlignment="1" applyProtection="1">
      <alignment horizontal="left" vertical="center"/>
      <protection hidden="1"/>
    </xf>
    <xf numFmtId="0" fontId="21" fillId="0" borderId="0" xfId="3" applyFont="1" applyFill="1" applyAlignment="1" applyProtection="1">
      <alignment horizontal="left" vertical="center"/>
      <protection hidden="1"/>
    </xf>
    <xf numFmtId="0" fontId="87" fillId="0" borderId="0" xfId="3" applyFont="1" applyFill="1" applyBorder="1" applyAlignment="1" applyProtection="1">
      <alignment horizontal="left" vertical="center"/>
      <protection hidden="1"/>
    </xf>
    <xf numFmtId="0" fontId="88" fillId="0" borderId="0" xfId="3" applyFont="1" applyFill="1" applyBorder="1" applyAlignment="1" applyProtection="1">
      <alignment horizontal="left" vertical="center" wrapText="1"/>
      <protection hidden="1"/>
    </xf>
    <xf numFmtId="0" fontId="89" fillId="0" borderId="0" xfId="3" applyFont="1" applyFill="1" applyBorder="1" applyAlignment="1" applyProtection="1">
      <alignment vertical="center"/>
      <protection hidden="1"/>
    </xf>
    <xf numFmtId="0" fontId="89" fillId="0" borderId="0" xfId="3" applyFont="1" applyFill="1" applyAlignment="1" applyProtection="1">
      <alignment vertical="center"/>
      <protection hidden="1"/>
    </xf>
    <xf numFmtId="0" fontId="21" fillId="33" borderId="0" xfId="3" applyFont="1" applyFill="1" applyBorder="1" applyAlignment="1" applyProtection="1">
      <alignment vertical="center"/>
      <protection hidden="1"/>
    </xf>
    <xf numFmtId="0" fontId="84" fillId="33" borderId="0" xfId="3" applyFont="1" applyFill="1" applyBorder="1" applyAlignment="1" applyProtection="1">
      <alignment vertical="center"/>
      <protection hidden="1"/>
    </xf>
    <xf numFmtId="0" fontId="81" fillId="33" borderId="0" xfId="3" applyFont="1" applyFill="1" applyBorder="1" applyAlignment="1" applyProtection="1">
      <alignment vertical="center"/>
      <protection hidden="1"/>
    </xf>
    <xf numFmtId="0" fontId="55" fillId="33" borderId="0" xfId="3" applyFont="1" applyFill="1" applyBorder="1" applyAlignment="1" applyProtection="1">
      <alignment vertical="center"/>
      <protection hidden="1"/>
    </xf>
    <xf numFmtId="0" fontId="79" fillId="33" borderId="0" xfId="3" applyFont="1" applyFill="1" applyBorder="1" applyAlignment="1" applyProtection="1">
      <alignment vertical="center"/>
      <protection hidden="1"/>
    </xf>
    <xf numFmtId="0" fontId="65" fillId="0" borderId="0" xfId="135" applyFont="1" applyFill="1" applyBorder="1" applyAlignment="1" applyProtection="1">
      <alignment vertical="center"/>
      <protection hidden="1"/>
    </xf>
    <xf numFmtId="0" fontId="64" fillId="2" borderId="0" xfId="3" applyFont="1" applyFill="1" applyBorder="1" applyProtection="1">
      <protection hidden="1"/>
    </xf>
    <xf numFmtId="0" fontId="64" fillId="0" borderId="0" xfId="3" applyFont="1" applyFill="1" applyProtection="1">
      <protection hidden="1"/>
    </xf>
    <xf numFmtId="0" fontId="52" fillId="0" borderId="0" xfId="3" applyFont="1" applyFill="1" applyBorder="1" applyAlignment="1" applyProtection="1">
      <alignment vertical="center" wrapText="1"/>
      <protection hidden="1"/>
    </xf>
    <xf numFmtId="0" fontId="90" fillId="0" borderId="0" xfId="135" applyFont="1" applyFill="1" applyBorder="1" applyAlignment="1" applyProtection="1">
      <alignment vertical="center"/>
      <protection hidden="1"/>
    </xf>
    <xf numFmtId="0" fontId="94" fillId="0" borderId="0" xfId="0" applyFont="1"/>
    <xf numFmtId="0" fontId="0" fillId="0" borderId="16" xfId="0" applyFill="1" applyBorder="1" applyAlignment="1">
      <alignment horizontal="left"/>
    </xf>
    <xf numFmtId="14" fontId="0" fillId="0" borderId="16" xfId="0" applyNumberFormat="1" applyFill="1" applyBorder="1" applyAlignment="1">
      <alignment horizontal="left"/>
    </xf>
    <xf numFmtId="14" fontId="0" fillId="32" borderId="16" xfId="0" applyNumberFormat="1" applyFill="1" applyBorder="1" applyAlignment="1">
      <alignment horizontal="left"/>
    </xf>
    <xf numFmtId="0" fontId="0" fillId="0" borderId="16" xfId="0" applyFill="1" applyBorder="1" applyAlignment="1">
      <alignment horizontal="fill"/>
    </xf>
    <xf numFmtId="0" fontId="0" fillId="0" borderId="11" xfId="0" applyBorder="1" applyAlignment="1">
      <alignment horizontal="left"/>
    </xf>
    <xf numFmtId="0" fontId="0" fillId="0" borderId="13" xfId="0" applyBorder="1" applyAlignment="1">
      <alignment horizontal="left"/>
    </xf>
    <xf numFmtId="0" fontId="79" fillId="0" borderId="0" xfId="3" applyFont="1" applyFill="1" applyBorder="1" applyAlignment="1" applyProtection="1">
      <alignment vertical="center"/>
      <protection hidden="1"/>
    </xf>
    <xf numFmtId="0" fontId="81" fillId="0" borderId="0" xfId="3" applyFont="1" applyFill="1" applyBorder="1" applyAlignment="1" applyProtection="1">
      <alignment vertical="center"/>
      <protection hidden="1"/>
    </xf>
    <xf numFmtId="0" fontId="95" fillId="0" borderId="0" xfId="3" applyFont="1" applyFill="1" applyBorder="1" applyAlignment="1" applyProtection="1">
      <alignment vertical="center"/>
      <protection hidden="1"/>
    </xf>
    <xf numFmtId="0" fontId="80" fillId="2" borderId="89" xfId="0" applyFont="1" applyFill="1" applyBorder="1" applyAlignment="1">
      <alignment vertical="center" shrinkToFit="1"/>
    </xf>
    <xf numFmtId="0" fontId="82" fillId="2" borderId="89" xfId="0" applyFont="1" applyFill="1" applyBorder="1" applyAlignment="1">
      <alignment vertical="center"/>
    </xf>
    <xf numFmtId="14" fontId="0" fillId="0" borderId="0" xfId="0" applyNumberFormat="1"/>
    <xf numFmtId="0" fontId="66" fillId="0" borderId="0" xfId="0" applyFont="1" applyFill="1" applyBorder="1" applyAlignment="1">
      <alignment horizontal="left" vertical="center" wrapText="1"/>
    </xf>
    <xf numFmtId="0" fontId="0" fillId="32" borderId="16" xfId="0" applyNumberFormat="1" applyFill="1" applyBorder="1" applyAlignment="1">
      <alignment horizontal="left"/>
    </xf>
    <xf numFmtId="0" fontId="66" fillId="0" borderId="0" xfId="0" applyFont="1" applyFill="1" applyBorder="1" applyAlignment="1">
      <alignment horizontal="left" vertical="center" wrapText="1"/>
    </xf>
    <xf numFmtId="172" fontId="0" fillId="0" borderId="16" xfId="0" applyNumberFormat="1" applyFill="1" applyBorder="1" applyAlignment="1">
      <alignment horizontal="left"/>
    </xf>
    <xf numFmtId="0" fontId="82" fillId="2" borderId="88" xfId="0" applyFont="1" applyFill="1" applyBorder="1" applyAlignment="1">
      <alignment vertical="center"/>
    </xf>
    <xf numFmtId="0" fontId="80" fillId="2" borderId="88" xfId="0" applyFont="1" applyFill="1" applyBorder="1" applyAlignment="1">
      <alignment vertical="center" shrinkToFit="1"/>
    </xf>
    <xf numFmtId="0" fontId="20" fillId="0" borderId="16" xfId="0" quotePrefix="1" applyFont="1" applyBorder="1"/>
    <xf numFmtId="0" fontId="98" fillId="0" borderId="16" xfId="0" applyFont="1" applyBorder="1"/>
    <xf numFmtId="0" fontId="47" fillId="0" borderId="0" xfId="0" applyFont="1" applyAlignment="1" applyProtection="1">
      <alignment horizontal="center"/>
    </xf>
    <xf numFmtId="0" fontId="19" fillId="0" borderId="0" xfId="0" applyFont="1" applyFill="1" applyBorder="1" applyAlignment="1">
      <alignment horizontal="center" vertical="center" wrapText="1"/>
    </xf>
    <xf numFmtId="0" fontId="51" fillId="0" borderId="0" xfId="3" applyFont="1" applyFill="1" applyBorder="1" applyAlignment="1" applyProtection="1">
      <protection hidden="1"/>
    </xf>
    <xf numFmtId="172" fontId="0" fillId="0" borderId="0" xfId="0" applyNumberFormat="1" applyFill="1" applyBorder="1" applyAlignment="1">
      <alignment horizontal="left"/>
    </xf>
    <xf numFmtId="0" fontId="0" fillId="0" borderId="0" xfId="0" applyBorder="1" applyAlignment="1">
      <alignment horizontal="left"/>
    </xf>
    <xf numFmtId="172" fontId="47" fillId="0" borderId="91" xfId="0" applyNumberFormat="1" applyFont="1" applyFill="1" applyBorder="1" applyAlignment="1">
      <alignment horizontal="left"/>
    </xf>
    <xf numFmtId="172" fontId="0" fillId="0" borderId="91" xfId="0" applyNumberFormat="1" applyFill="1" applyBorder="1" applyAlignment="1">
      <alignment horizontal="left"/>
    </xf>
    <xf numFmtId="0" fontId="49" fillId="26" borderId="0" xfId="0" applyFont="1" applyFill="1" applyBorder="1" applyAlignment="1">
      <alignment horizontal="center" vertical="center"/>
    </xf>
    <xf numFmtId="3" fontId="54" fillId="0" borderId="11" xfId="0" applyNumberFormat="1" applyFont="1" applyBorder="1" applyAlignment="1">
      <alignment horizontal="center" vertical="center"/>
    </xf>
    <xf numFmtId="3" fontId="54" fillId="0" borderId="24" xfId="0" applyNumberFormat="1" applyFont="1" applyBorder="1" applyAlignment="1">
      <alignment horizontal="center" vertical="center"/>
    </xf>
    <xf numFmtId="3" fontId="54" fillId="0" borderId="53" xfId="0" applyNumberFormat="1" applyFont="1" applyBorder="1" applyAlignment="1">
      <alignment horizontal="center" vertical="center"/>
    </xf>
    <xf numFmtId="3" fontId="54" fillId="0" borderId="0" xfId="0" applyNumberFormat="1" applyFont="1" applyBorder="1" applyAlignment="1">
      <alignment horizontal="center" vertical="center"/>
    </xf>
    <xf numFmtId="3" fontId="54" fillId="0" borderId="22" xfId="0" applyNumberFormat="1" applyFont="1" applyBorder="1" applyAlignment="1">
      <alignment horizontal="center" vertical="center"/>
    </xf>
    <xf numFmtId="0" fontId="45" fillId="0" borderId="91" xfId="0" applyFont="1" applyBorder="1" applyAlignment="1" applyProtection="1">
      <alignment vertical="center"/>
    </xf>
    <xf numFmtId="0" fontId="46" fillId="0" borderId="91" xfId="0" applyFont="1" applyBorder="1" applyAlignment="1" applyProtection="1">
      <alignment vertical="center"/>
    </xf>
    <xf numFmtId="0" fontId="45" fillId="0" borderId="91" xfId="0" applyFont="1" applyFill="1" applyBorder="1" applyAlignment="1" applyProtection="1">
      <alignment vertical="center"/>
    </xf>
    <xf numFmtId="0" fontId="0" fillId="0" borderId="91" xfId="0" applyBorder="1" applyAlignment="1" applyProtection="1">
      <alignment horizontal="center"/>
    </xf>
    <xf numFmtId="0" fontId="46" fillId="0" borderId="91" xfId="0" applyFont="1" applyBorder="1" applyAlignment="1" applyProtection="1">
      <alignment horizontal="center" vertical="center"/>
    </xf>
    <xf numFmtId="168" fontId="0" fillId="0" borderId="91" xfId="0" applyNumberFormat="1" applyBorder="1" applyAlignment="1" applyProtection="1">
      <alignment horizontal="center"/>
    </xf>
    <xf numFmtId="0" fontId="0" fillId="0" borderId="91" xfId="0" applyNumberFormat="1" applyBorder="1" applyAlignment="1" applyProtection="1">
      <alignment horizontal="center"/>
    </xf>
    <xf numFmtId="173" fontId="0" fillId="0" borderId="91" xfId="0" applyNumberFormat="1" applyBorder="1" applyAlignment="1" applyProtection="1">
      <alignment horizontal="center"/>
    </xf>
    <xf numFmtId="0" fontId="0" fillId="0" borderId="20" xfId="0" applyBorder="1" applyAlignment="1" applyProtection="1">
      <alignment horizontal="center"/>
    </xf>
    <xf numFmtId="171" fontId="54" fillId="0" borderId="10" xfId="0" applyNumberFormat="1" applyFont="1" applyBorder="1" applyAlignment="1">
      <alignment horizontal="center" vertical="center"/>
    </xf>
    <xf numFmtId="176" fontId="54" fillId="0" borderId="12" xfId="0" applyNumberFormat="1" applyFont="1" applyBorder="1" applyAlignment="1">
      <alignment horizontal="center" vertical="center"/>
    </xf>
    <xf numFmtId="3" fontId="54" fillId="0" borderId="13" xfId="0" applyNumberFormat="1" applyFont="1" applyBorder="1" applyAlignment="1">
      <alignment horizontal="center" vertical="center"/>
    </xf>
    <xf numFmtId="176" fontId="54" fillId="0" borderId="10" xfId="0" applyNumberFormat="1" applyFont="1" applyBorder="1" applyAlignment="1">
      <alignment horizontal="center" vertical="center"/>
    </xf>
    <xf numFmtId="3" fontId="54" fillId="0" borderId="17" xfId="0" applyNumberFormat="1" applyFont="1" applyBorder="1" applyAlignment="1">
      <alignment horizontal="center" vertical="center"/>
    </xf>
    <xf numFmtId="176" fontId="54" fillId="0" borderId="26" xfId="0" applyNumberFormat="1" applyFont="1" applyBorder="1" applyAlignment="1">
      <alignment horizontal="center" vertical="center"/>
    </xf>
    <xf numFmtId="171" fontId="54" fillId="0" borderId="11" xfId="0" applyNumberFormat="1" applyFont="1" applyBorder="1" applyAlignment="1">
      <alignment horizontal="center" vertical="center"/>
    </xf>
    <xf numFmtId="171" fontId="54" fillId="0" borderId="20" xfId="0" applyNumberFormat="1" applyFont="1" applyBorder="1" applyAlignment="1">
      <alignment horizontal="center" vertical="center"/>
    </xf>
    <xf numFmtId="171" fontId="54" fillId="0" borderId="23" xfId="0" applyNumberFormat="1" applyFont="1" applyBorder="1" applyAlignment="1">
      <alignment horizontal="center" vertical="center"/>
    </xf>
    <xf numFmtId="9" fontId="46" fillId="0" borderId="91" xfId="0" applyNumberFormat="1" applyFont="1" applyBorder="1" applyAlignment="1" applyProtection="1">
      <alignment horizontal="center" vertical="center"/>
    </xf>
    <xf numFmtId="0" fontId="47" fillId="26" borderId="16" xfId="0" applyFont="1" applyFill="1" applyBorder="1" applyAlignment="1">
      <alignment horizontal="center" vertical="center"/>
    </xf>
    <xf numFmtId="0" fontId="53" fillId="26" borderId="21" xfId="0" quotePrefix="1" applyFont="1" applyFill="1" applyBorder="1" applyAlignment="1">
      <alignment horizontal="center" vertical="center"/>
    </xf>
    <xf numFmtId="2" fontId="53" fillId="26" borderId="21" xfId="0" applyNumberFormat="1" applyFont="1" applyFill="1" applyBorder="1" applyAlignment="1">
      <alignment horizontal="center" vertical="center"/>
    </xf>
    <xf numFmtId="2" fontId="53" fillId="26" borderId="27" xfId="0" applyNumberFormat="1" applyFont="1" applyFill="1" applyBorder="1" applyAlignment="1">
      <alignment horizontal="center" vertical="center"/>
    </xf>
    <xf numFmtId="2" fontId="53" fillId="26" borderId="25" xfId="0" applyNumberFormat="1" applyFont="1" applyFill="1" applyBorder="1" applyAlignment="1">
      <alignment horizontal="center" vertical="center"/>
    </xf>
    <xf numFmtId="0" fontId="11" fillId="0" borderId="0" xfId="0" applyFont="1" applyAlignment="1" applyProtection="1">
      <alignment horizontal="left"/>
    </xf>
    <xf numFmtId="0" fontId="0" fillId="0" borderId="0" xfId="0" quotePrefix="1" applyBorder="1" applyAlignment="1">
      <alignment horizontal="left"/>
    </xf>
    <xf numFmtId="0" fontId="0" fillId="0" borderId="0" xfId="0" applyFill="1" applyBorder="1" applyAlignment="1">
      <alignment horizontal="left"/>
    </xf>
    <xf numFmtId="0" fontId="53" fillId="30" borderId="12" xfId="0" applyFont="1" applyFill="1" applyBorder="1" applyAlignment="1">
      <alignment horizontal="center" vertical="center"/>
    </xf>
    <xf numFmtId="0" fontId="53" fillId="30" borderId="26" xfId="0" applyFont="1" applyFill="1" applyBorder="1" applyAlignment="1">
      <alignment horizontal="center" vertical="center"/>
    </xf>
    <xf numFmtId="0" fontId="53" fillId="30" borderId="10" xfId="0" applyFont="1" applyFill="1" applyBorder="1" applyAlignment="1">
      <alignment horizontal="center" vertical="center"/>
    </xf>
    <xf numFmtId="0" fontId="53" fillId="30" borderId="23" xfId="0" applyFont="1" applyFill="1" applyBorder="1" applyAlignment="1">
      <alignment horizontal="center" vertical="center"/>
    </xf>
    <xf numFmtId="171" fontId="54" fillId="0" borderId="13" xfId="0" applyNumberFormat="1" applyFont="1" applyBorder="1" applyAlignment="1">
      <alignment horizontal="center" vertical="center"/>
    </xf>
    <xf numFmtId="171" fontId="54" fillId="0" borderId="17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6" fillId="0" borderId="16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 wrapText="1"/>
    </xf>
    <xf numFmtId="0" fontId="6" fillId="0" borderId="16" xfId="0" quotePrefix="1" applyFont="1" applyBorder="1" applyAlignment="1" applyProtection="1">
      <alignment horizontal="center"/>
    </xf>
    <xf numFmtId="1" fontId="0" fillId="29" borderId="16" xfId="0" applyNumberFormat="1" applyFill="1" applyBorder="1" applyAlignment="1">
      <alignment horizontal="center" vertical="center" shrinkToFit="1"/>
    </xf>
    <xf numFmtId="0" fontId="96" fillId="0" borderId="0" xfId="0" applyFont="1" applyFill="1" applyBorder="1" applyAlignment="1">
      <alignment horizontal="left" vertical="center" wrapText="1"/>
    </xf>
    <xf numFmtId="0" fontId="96" fillId="0" borderId="0" xfId="0" applyFont="1" applyFill="1" applyBorder="1" applyAlignment="1">
      <alignment horizontal="left" vertical="center" wrapText="1"/>
    </xf>
    <xf numFmtId="0" fontId="0" fillId="0" borderId="0" xfId="0" applyFont="1"/>
    <xf numFmtId="3" fontId="97" fillId="35" borderId="87" xfId="0" applyNumberFormat="1" applyFont="1" applyFill="1" applyBorder="1" applyAlignment="1">
      <alignment horizontal="center" vertical="center"/>
    </xf>
    <xf numFmtId="0" fontId="53" fillId="26" borderId="21" xfId="0" applyFont="1" applyFill="1" applyBorder="1" applyAlignment="1">
      <alignment horizontal="left" vertical="center"/>
    </xf>
    <xf numFmtId="167" fontId="53" fillId="26" borderId="27" xfId="0" applyNumberFormat="1" applyFont="1" applyFill="1" applyBorder="1" applyAlignment="1">
      <alignment horizontal="left" vertical="center"/>
    </xf>
    <xf numFmtId="167" fontId="53" fillId="26" borderId="21" xfId="0" applyNumberFormat="1" applyFont="1" applyFill="1" applyBorder="1" applyAlignment="1">
      <alignment horizontal="left" vertical="center"/>
    </xf>
    <xf numFmtId="167" fontId="53" fillId="26" borderId="25" xfId="0" applyNumberFormat="1" applyFont="1" applyFill="1" applyBorder="1" applyAlignment="1">
      <alignment horizontal="left" vertical="center"/>
    </xf>
    <xf numFmtId="167" fontId="53" fillId="26" borderId="11" xfId="0" applyNumberFormat="1" applyFont="1" applyFill="1" applyBorder="1" applyAlignment="1">
      <alignment horizontal="left" vertical="center"/>
    </xf>
    <xf numFmtId="167" fontId="53" fillId="26" borderId="13" xfId="0" applyNumberFormat="1" applyFont="1" applyFill="1" applyBorder="1" applyAlignment="1">
      <alignment horizontal="left" vertical="center"/>
    </xf>
    <xf numFmtId="167" fontId="53" fillId="26" borderId="17" xfId="0" applyNumberFormat="1" applyFont="1" applyFill="1" applyBorder="1" applyAlignment="1">
      <alignment horizontal="left" vertical="center"/>
    </xf>
    <xf numFmtId="0" fontId="48" fillId="3" borderId="90" xfId="0" applyFont="1" applyFill="1" applyBorder="1" applyAlignment="1">
      <alignment horizontal="center" vertical="center" wrapText="1"/>
    </xf>
    <xf numFmtId="167" fontId="53" fillId="26" borderId="20" xfId="0" applyNumberFormat="1" applyFont="1" applyFill="1" applyBorder="1" applyAlignment="1">
      <alignment horizontal="left" vertical="center"/>
    </xf>
    <xf numFmtId="0" fontId="68" fillId="0" borderId="0" xfId="239" applyFill="1"/>
    <xf numFmtId="0" fontId="5" fillId="0" borderId="0" xfId="0" applyFont="1"/>
    <xf numFmtId="3" fontId="100" fillId="35" borderId="93" xfId="0" applyNumberFormat="1" applyFont="1" applyFill="1" applyBorder="1" applyAlignment="1" applyProtection="1">
      <alignment horizontal="center" vertical="center"/>
    </xf>
    <xf numFmtId="3" fontId="100" fillId="36" borderId="93" xfId="0" applyNumberFormat="1" applyFont="1" applyFill="1" applyBorder="1" applyAlignment="1" applyProtection="1">
      <alignment horizontal="center" vertical="center"/>
    </xf>
    <xf numFmtId="0" fontId="99" fillId="3" borderId="94" xfId="0" applyNumberFormat="1" applyFont="1" applyFill="1" applyBorder="1" applyAlignment="1" applyProtection="1">
      <alignment horizontal="center" vertical="center" wrapText="1"/>
    </xf>
    <xf numFmtId="0" fontId="101" fillId="38" borderId="95" xfId="0" applyNumberFormat="1" applyFont="1" applyFill="1" applyBorder="1" applyAlignment="1" applyProtection="1">
      <alignment vertical="center" shrinkToFit="1"/>
    </xf>
    <xf numFmtId="0" fontId="98" fillId="2" borderId="0" xfId="0" applyFont="1" applyFill="1"/>
    <xf numFmtId="0" fontId="0" fillId="2" borderId="0" xfId="0" applyFill="1"/>
    <xf numFmtId="0" fontId="82" fillId="2" borderId="0" xfId="0" applyFont="1" applyFill="1" applyBorder="1" applyAlignment="1">
      <alignment vertical="center"/>
    </xf>
    <xf numFmtId="10" fontId="20" fillId="2" borderId="0" xfId="0" applyNumberFormat="1" applyFont="1" applyFill="1"/>
    <xf numFmtId="10" fontId="0" fillId="2" borderId="0" xfId="0" applyNumberFormat="1" applyFill="1"/>
    <xf numFmtId="0" fontId="82" fillId="2" borderId="89" xfId="0" applyFont="1" applyFill="1" applyBorder="1" applyAlignment="1">
      <alignment vertical="center" wrapText="1"/>
    </xf>
    <xf numFmtId="0" fontId="80" fillId="2" borderId="0" xfId="0" applyFont="1" applyFill="1" applyBorder="1" applyAlignment="1">
      <alignment vertical="center" shrinkToFit="1"/>
    </xf>
    <xf numFmtId="0" fontId="17" fillId="34" borderId="0" xfId="239" applyFont="1" applyFill="1" applyBorder="1" applyAlignment="1">
      <alignment horizontal="center" vertical="center"/>
    </xf>
    <xf numFmtId="0" fontId="21" fillId="0" borderId="17" xfId="3" applyFont="1" applyFill="1" applyBorder="1" applyAlignment="1" applyProtection="1">
      <alignment vertical="center"/>
      <protection hidden="1"/>
    </xf>
    <xf numFmtId="0" fontId="21" fillId="0" borderId="24" xfId="3" applyFont="1" applyFill="1" applyBorder="1" applyAlignment="1" applyProtection="1">
      <alignment vertical="center"/>
      <protection hidden="1"/>
    </xf>
    <xf numFmtId="0" fontId="21" fillId="0" borderId="26" xfId="3" applyFont="1" applyFill="1" applyBorder="1" applyAlignment="1" applyProtection="1">
      <alignment vertical="center"/>
      <protection hidden="1"/>
    </xf>
    <xf numFmtId="0" fontId="104" fillId="37" borderId="87" xfId="239" applyFont="1" applyFill="1" applyBorder="1" applyAlignment="1">
      <alignment horizontal="left" vertical="center" wrapText="1"/>
    </xf>
    <xf numFmtId="0" fontId="105" fillId="37" borderId="87" xfId="239" applyFont="1" applyFill="1" applyBorder="1" applyAlignment="1">
      <alignment horizontal="left" vertical="center" wrapText="1"/>
    </xf>
    <xf numFmtId="0" fontId="68" fillId="37" borderId="92" xfId="239" applyFill="1" applyBorder="1" applyAlignment="1">
      <alignment horizontal="left" vertical="center"/>
    </xf>
    <xf numFmtId="0" fontId="105" fillId="37" borderId="92" xfId="239" applyFont="1" applyFill="1" applyBorder="1" applyAlignment="1">
      <alignment horizontal="left" vertical="center"/>
    </xf>
    <xf numFmtId="0" fontId="105" fillId="37" borderId="87" xfId="239" applyFont="1" applyFill="1" applyBorder="1" applyAlignment="1">
      <alignment horizontal="left" vertical="center"/>
    </xf>
    <xf numFmtId="0" fontId="105" fillId="37" borderId="0" xfId="239" applyFont="1" applyFill="1" applyBorder="1" applyAlignment="1">
      <alignment horizontal="left" vertical="center"/>
    </xf>
    <xf numFmtId="0" fontId="105" fillId="37" borderId="16" xfId="239" applyFont="1" applyFill="1" applyBorder="1" applyAlignment="1">
      <alignment horizontal="left" vertical="center" wrapText="1"/>
    </xf>
    <xf numFmtId="0" fontId="63" fillId="0" borderId="0" xfId="135" applyFont="1" applyFill="1" applyBorder="1" applyAlignment="1" applyProtection="1">
      <alignment horizontal="left" vertical="center" indent="3"/>
      <protection hidden="1"/>
    </xf>
    <xf numFmtId="0" fontId="93" fillId="0" borderId="0" xfId="3" applyFont="1" applyFill="1" applyBorder="1" applyAlignment="1" applyProtection="1">
      <alignment horizontal="left" vertical="center" indent="1"/>
      <protection hidden="1"/>
    </xf>
    <xf numFmtId="14" fontId="51" fillId="0" borderId="0" xfId="3" applyNumberFormat="1" applyFont="1" applyFill="1" applyAlignment="1" applyProtection="1">
      <alignment horizontal="right" vertical="center" wrapText="1" indent="1"/>
      <protection hidden="1"/>
    </xf>
    <xf numFmtId="0" fontId="64" fillId="33" borderId="0" xfId="3" applyFont="1" applyFill="1" applyBorder="1" applyAlignment="1" applyProtection="1">
      <alignment horizontal="center"/>
      <protection hidden="1"/>
    </xf>
    <xf numFmtId="0" fontId="47" fillId="26" borderId="20" xfId="0" applyFont="1" applyFill="1" applyBorder="1" applyAlignment="1">
      <alignment horizontal="center" vertical="center"/>
    </xf>
    <xf numFmtId="0" fontId="47" fillId="26" borderId="22" xfId="0" applyFont="1" applyFill="1" applyBorder="1" applyAlignment="1">
      <alignment horizontal="center" vertical="center"/>
    </xf>
    <xf numFmtId="0" fontId="47" fillId="26" borderId="23" xfId="0" applyFont="1" applyFill="1" applyBorder="1" applyAlignment="1">
      <alignment horizontal="center" vertical="center"/>
    </xf>
    <xf numFmtId="0" fontId="47" fillId="26" borderId="21" xfId="0" applyFont="1" applyFill="1" applyBorder="1" applyAlignment="1">
      <alignment horizontal="center" vertical="center"/>
    </xf>
    <xf numFmtId="0" fontId="47" fillId="26" borderId="27" xfId="0" applyFont="1" applyFill="1" applyBorder="1" applyAlignment="1">
      <alignment horizontal="center" vertical="center"/>
    </xf>
    <xf numFmtId="0" fontId="47" fillId="26" borderId="25" xfId="0" applyFont="1" applyFill="1" applyBorder="1" applyAlignment="1">
      <alignment horizontal="center" vertical="center"/>
    </xf>
    <xf numFmtId="0" fontId="47" fillId="26" borderId="16" xfId="0" applyFont="1" applyFill="1" applyBorder="1" applyAlignment="1">
      <alignment horizontal="center" vertical="center"/>
    </xf>
    <xf numFmtId="0" fontId="0" fillId="26" borderId="28" xfId="0" applyFont="1" applyFill="1" applyBorder="1" applyAlignment="1">
      <alignment horizontal="center" vertical="center"/>
    </xf>
    <xf numFmtId="0" fontId="0" fillId="26" borderId="14" xfId="0" applyFont="1" applyFill="1" applyBorder="1" applyAlignment="1">
      <alignment horizontal="center" vertical="center"/>
    </xf>
    <xf numFmtId="0" fontId="0" fillId="26" borderId="15" xfId="0" applyFont="1" applyFill="1" applyBorder="1" applyAlignment="1">
      <alignment horizontal="center" vertical="center"/>
    </xf>
    <xf numFmtId="173" fontId="0" fillId="0" borderId="25" xfId="0" applyNumberFormat="1" applyBorder="1" applyAlignment="1">
      <alignment horizontal="center" vertical="center"/>
    </xf>
    <xf numFmtId="173" fontId="0" fillId="0" borderId="16" xfId="0" applyNumberFormat="1" applyBorder="1" applyAlignment="1">
      <alignment horizontal="center" vertical="center"/>
    </xf>
    <xf numFmtId="173" fontId="0" fillId="0" borderId="21" xfId="0" applyNumberFormat="1" applyBorder="1" applyAlignment="1">
      <alignment horizontal="center" vertical="center"/>
    </xf>
    <xf numFmtId="173" fontId="0" fillId="0" borderId="19" xfId="0" applyNumberFormat="1" applyBorder="1" applyAlignment="1">
      <alignment horizontal="center" vertical="center"/>
    </xf>
    <xf numFmtId="0" fontId="57" fillId="26" borderId="66" xfId="0" applyFont="1" applyFill="1" applyBorder="1" applyAlignment="1">
      <alignment horizontal="center" vertical="center"/>
    </xf>
    <xf numFmtId="0" fontId="57" fillId="26" borderId="68" xfId="0" applyFont="1" applyFill="1" applyBorder="1" applyAlignment="1">
      <alignment horizontal="center" vertical="center"/>
    </xf>
    <xf numFmtId="0" fontId="0" fillId="26" borderId="71" xfId="0" applyFont="1" applyFill="1" applyBorder="1" applyAlignment="1">
      <alignment horizontal="center" vertical="center"/>
    </xf>
    <xf numFmtId="0" fontId="0" fillId="26" borderId="74" xfId="0" applyFont="1" applyFill="1" applyBorder="1" applyAlignment="1">
      <alignment horizontal="center" vertical="center"/>
    </xf>
    <xf numFmtId="0" fontId="0" fillId="26" borderId="67" xfId="0" applyFont="1" applyFill="1" applyBorder="1" applyAlignment="1">
      <alignment horizontal="center" vertical="center"/>
    </xf>
    <xf numFmtId="0" fontId="0" fillId="26" borderId="70" xfId="0" applyFont="1" applyFill="1" applyBorder="1" applyAlignment="1">
      <alignment horizontal="center" vertical="center"/>
    </xf>
    <xf numFmtId="0" fontId="56" fillId="31" borderId="56" xfId="0" applyFont="1" applyFill="1" applyBorder="1" applyAlignment="1">
      <alignment horizontal="center"/>
    </xf>
    <xf numFmtId="0" fontId="56" fillId="31" borderId="57" xfId="0" applyFont="1" applyFill="1" applyBorder="1" applyAlignment="1">
      <alignment horizontal="center"/>
    </xf>
    <xf numFmtId="0" fontId="56" fillId="31" borderId="58" xfId="0" applyFont="1" applyFill="1" applyBorder="1" applyAlignment="1">
      <alignment horizontal="center"/>
    </xf>
    <xf numFmtId="0" fontId="56" fillId="31" borderId="28" xfId="0" applyFont="1" applyFill="1" applyBorder="1" applyAlignment="1">
      <alignment horizontal="center"/>
    </xf>
    <xf numFmtId="0" fontId="56" fillId="31" borderId="14" xfId="0" applyFont="1" applyFill="1" applyBorder="1" applyAlignment="1">
      <alignment horizontal="center"/>
    </xf>
    <xf numFmtId="0" fontId="56" fillId="31" borderId="15" xfId="0" applyFont="1" applyFill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</cellXfs>
  <cellStyles count="5717">
    <cellStyle name="_ET_STYLE_NoName_00_" xfId="241"/>
    <cellStyle name="_ET_STYLE_NoName_00_ 2" xfId="242"/>
    <cellStyle name="_ET_STYLE_NoName_00__ControlSystemSummary_2010128" xfId="243"/>
    <cellStyle name="_ET_STYLE_NoName_00__热水机" xfId="244"/>
    <cellStyle name="_x0007__Kentatsu_Line-up_2011_12.10.10" xfId="245"/>
    <cellStyle name="0,0_x000d__x000a_NA_x000d__x000a_ 2_2009 GREE CAC  Pricing for Q2 season_Valid before July 2009" xfId="246"/>
    <cellStyle name="0,0_x005f_x000d__x000a_NA_x005f_x000d__x000a_" xfId="247"/>
    <cellStyle name="20% - Акцент1 2" xfId="8"/>
    <cellStyle name="20% - Акцент1 3" xfId="9"/>
    <cellStyle name="20% - Акцент1 4" xfId="10"/>
    <cellStyle name="20% - Акцент1 5" xfId="11"/>
    <cellStyle name="20% - Акцент2 2" xfId="12"/>
    <cellStyle name="20% - Акцент2 3" xfId="13"/>
    <cellStyle name="20% - Акцент2 4" xfId="14"/>
    <cellStyle name="20% - Акцент2 5" xfId="15"/>
    <cellStyle name="20% - Акцент3 2" xfId="16"/>
    <cellStyle name="20% - Акцент3 3" xfId="17"/>
    <cellStyle name="20% - Акцент3 4" xfId="18"/>
    <cellStyle name="20% - Акцент3 5" xfId="19"/>
    <cellStyle name="20% - Акцент4 2" xfId="20"/>
    <cellStyle name="20% - Акцент4 3" xfId="21"/>
    <cellStyle name="20% - Акцент4 4" xfId="22"/>
    <cellStyle name="20% - Акцент4 5" xfId="23"/>
    <cellStyle name="20% - Акцент5 2" xfId="24"/>
    <cellStyle name="20% - Акцент5 3" xfId="25"/>
    <cellStyle name="20% - Акцент5 4" xfId="26"/>
    <cellStyle name="20% - Акцент5 5" xfId="27"/>
    <cellStyle name="20% - Акцент6 2" xfId="28"/>
    <cellStyle name="20% - Акцент6 3" xfId="29"/>
    <cellStyle name="20% - Акцент6 4" xfId="30"/>
    <cellStyle name="20% - Акцент6 5" xfId="31"/>
    <cellStyle name="40% - Акцент1 2" xfId="32"/>
    <cellStyle name="40% - Акцент1 3" xfId="33"/>
    <cellStyle name="40% - Акцент1 4" xfId="34"/>
    <cellStyle name="40% - Акцент1 5" xfId="35"/>
    <cellStyle name="40% - Акцент2 2" xfId="36"/>
    <cellStyle name="40% - Акцент2 3" xfId="37"/>
    <cellStyle name="40% - Акцент2 4" xfId="38"/>
    <cellStyle name="40% - Акцент2 5" xfId="39"/>
    <cellStyle name="40% - Акцент3 2" xfId="40"/>
    <cellStyle name="40% - Акцент3 3" xfId="41"/>
    <cellStyle name="40% - Акцент3 4" xfId="42"/>
    <cellStyle name="40% - Акцент3 5" xfId="43"/>
    <cellStyle name="40% - Акцент4 2" xfId="44"/>
    <cellStyle name="40% - Акцент4 3" xfId="45"/>
    <cellStyle name="40% - Акцент4 4" xfId="46"/>
    <cellStyle name="40% - Акцент4 5" xfId="47"/>
    <cellStyle name="40% - Акцент5 2" xfId="48"/>
    <cellStyle name="40% - Акцент5 3" xfId="49"/>
    <cellStyle name="40% - Акцент5 4" xfId="50"/>
    <cellStyle name="40% - Акцент5 5" xfId="51"/>
    <cellStyle name="40% - Акцент6 2" xfId="52"/>
    <cellStyle name="40% - Акцент6 3" xfId="53"/>
    <cellStyle name="40% - Акцент6 4" xfId="54"/>
    <cellStyle name="40% - Акцент6 5" xfId="55"/>
    <cellStyle name="60% - Accent3 37" xfId="56"/>
    <cellStyle name="60% - Акцент1 2" xfId="57"/>
    <cellStyle name="60% - Акцент1 3" xfId="58"/>
    <cellStyle name="60% - Акцент1 4" xfId="59"/>
    <cellStyle name="60% - Акцент1 5" xfId="60"/>
    <cellStyle name="60% - Акцент2 2" xfId="61"/>
    <cellStyle name="60% - Акцент2 3" xfId="62"/>
    <cellStyle name="60% - Акцент2 4" xfId="63"/>
    <cellStyle name="60% - Акцент2 5" xfId="64"/>
    <cellStyle name="60% - Акцент3 2" xfId="65"/>
    <cellStyle name="60% - Акцент3 3" xfId="66"/>
    <cellStyle name="60% - Акцент3 4" xfId="67"/>
    <cellStyle name="60% - Акцент3 5" xfId="68"/>
    <cellStyle name="60% - Акцент4 2" xfId="69"/>
    <cellStyle name="60% - Акцент4 3" xfId="70"/>
    <cellStyle name="60% - Акцент4 4" xfId="71"/>
    <cellStyle name="60% - Акцент4 5" xfId="72"/>
    <cellStyle name="60% - Акцент5 2" xfId="73"/>
    <cellStyle name="60% - Акцент5 3" xfId="74"/>
    <cellStyle name="60% - Акцент5 4" xfId="75"/>
    <cellStyle name="60% - Акцент5 5" xfId="76"/>
    <cellStyle name="60% - Акцент6 2" xfId="77"/>
    <cellStyle name="60% - Акцент6 3" xfId="78"/>
    <cellStyle name="60% - Акцент6 4" xfId="79"/>
    <cellStyle name="60% - Акцент6 5" xfId="80"/>
    <cellStyle name="Normal 10" xfId="591"/>
    <cellStyle name="Normal 10 2" xfId="3126"/>
    <cellStyle name="Normal 10 2 2" xfId="4904"/>
    <cellStyle name="Normal 10 3" xfId="4016"/>
    <cellStyle name="Normal 12" xfId="592"/>
    <cellStyle name="Normal 12 2" xfId="3127"/>
    <cellStyle name="Normal 12 2 2" xfId="4905"/>
    <cellStyle name="Normal 12 3" xfId="4017"/>
    <cellStyle name="Normal 13" xfId="81"/>
    <cellStyle name="Normal 13 2" xfId="82"/>
    <cellStyle name="Normal 13 2 2" xfId="223"/>
    <cellStyle name="Normal 13 2 2 2" xfId="365"/>
    <cellStyle name="Normal 13 2 2 2 2" xfId="499"/>
    <cellStyle name="Normal 13 2 2 2 2 2" xfId="4885"/>
    <cellStyle name="Normal 13 2 2 2 2 3" xfId="3107"/>
    <cellStyle name="Normal 13 2 2 2 3" xfId="3997"/>
    <cellStyle name="Normal 13 2 2 2 4" xfId="572"/>
    <cellStyle name="Normal 13 2 2 3" xfId="325"/>
    <cellStyle name="Normal 13 2 2 3 2" xfId="461"/>
    <cellStyle name="Normal 13 2 2 3 2 2" xfId="4849"/>
    <cellStyle name="Normal 13 2 2 3 3" xfId="3070"/>
    <cellStyle name="Normal 13 2 2 4" xfId="407"/>
    <cellStyle name="Normal 13 2 2 4 2" xfId="3961"/>
    <cellStyle name="Normal 13 2 2 5" xfId="536"/>
    <cellStyle name="Normal 13 2 3" xfId="346"/>
    <cellStyle name="Normal 13 2 3 2" xfId="481"/>
    <cellStyle name="Normal 13 2 3 2 2" xfId="4868"/>
    <cellStyle name="Normal 13 2 3 2 3" xfId="3089"/>
    <cellStyle name="Normal 13 2 3 3" xfId="3980"/>
    <cellStyle name="Normal 13 2 3 4" xfId="555"/>
    <cellStyle name="Normal 13 2 4" xfId="306"/>
    <cellStyle name="Normal 13 2 4 2" xfId="442"/>
    <cellStyle name="Normal 13 2 4 2 2" xfId="4832"/>
    <cellStyle name="Normal 13 2 4 3" xfId="3052"/>
    <cellStyle name="Normal 13 2 5" xfId="390"/>
    <cellStyle name="Normal 13 2 5 2" xfId="3944"/>
    <cellStyle name="Normal 13 2 6" xfId="519"/>
    <cellStyle name="Normal 13 3" xfId="222"/>
    <cellStyle name="Normal 13 3 2" xfId="364"/>
    <cellStyle name="Normal 13 3 2 2" xfId="498"/>
    <cellStyle name="Normal 13 3 2 2 2" xfId="4884"/>
    <cellStyle name="Normal 13 3 2 2 3" xfId="3106"/>
    <cellStyle name="Normal 13 3 2 3" xfId="3996"/>
    <cellStyle name="Normal 13 3 2 4" xfId="571"/>
    <cellStyle name="Normal 13 3 3" xfId="324"/>
    <cellStyle name="Normal 13 3 3 2" xfId="460"/>
    <cellStyle name="Normal 13 3 3 2 2" xfId="4848"/>
    <cellStyle name="Normal 13 3 3 3" xfId="3069"/>
    <cellStyle name="Normal 13 3 4" xfId="406"/>
    <cellStyle name="Normal 13 3 4 2" xfId="3960"/>
    <cellStyle name="Normal 13 3 5" xfId="535"/>
    <cellStyle name="Normal 13 4" xfId="345"/>
    <cellStyle name="Normal 13 4 2" xfId="480"/>
    <cellStyle name="Normal 13 4 2 2" xfId="4867"/>
    <cellStyle name="Normal 13 4 2 3" xfId="3088"/>
    <cellStyle name="Normal 13 4 3" xfId="3979"/>
    <cellStyle name="Normal 13 4 4" xfId="554"/>
    <cellStyle name="Normal 13 5" xfId="305"/>
    <cellStyle name="Normal 13 5 2" xfId="441"/>
    <cellStyle name="Normal 13 5 2 2" xfId="4906"/>
    <cellStyle name="Normal 13 5 2 3" xfId="3128"/>
    <cellStyle name="Normal 13 5 3" xfId="4018"/>
    <cellStyle name="Normal 13 5 4" xfId="593"/>
    <cellStyle name="Normal 13 6" xfId="389"/>
    <cellStyle name="Normal 13 6 2" xfId="4831"/>
    <cellStyle name="Normal 13 6 3" xfId="3051"/>
    <cellStyle name="Normal 13 7" xfId="3943"/>
    <cellStyle name="Normal 13 8" xfId="518"/>
    <cellStyle name="Normal 14" xfId="594"/>
    <cellStyle name="Normal 14 2" xfId="3129"/>
    <cellStyle name="Normal 14 2 2" xfId="4907"/>
    <cellStyle name="Normal 14 3" xfId="4019"/>
    <cellStyle name="Normal 2" xfId="7"/>
    <cellStyle name="Normal 2 10" xfId="304"/>
    <cellStyle name="Normal 2 10 2" xfId="440"/>
    <cellStyle name="Normal 2 10 2 2" xfId="4908"/>
    <cellStyle name="Normal 2 10 2 3" xfId="3130"/>
    <cellStyle name="Normal 2 10 3" xfId="4020"/>
    <cellStyle name="Normal 2 10 4" xfId="595"/>
    <cellStyle name="Normal 2 11" xfId="388"/>
    <cellStyle name="Normal 2 11 2" xfId="4830"/>
    <cellStyle name="Normal 2 11 3" xfId="3050"/>
    <cellStyle name="Normal 2 12" xfId="3942"/>
    <cellStyle name="Normal 2 13" xfId="517"/>
    <cellStyle name="Normal 2 2" xfId="83"/>
    <cellStyle name="Normal 2 2 2" xfId="84"/>
    <cellStyle name="Normal 2 2 2 2" xfId="225"/>
    <cellStyle name="Normal 2 2 2 2 2" xfId="367"/>
    <cellStyle name="Normal 2 2 2 2 2 2" xfId="501"/>
    <cellStyle name="Normal 2 2 2 2 2 2 2" xfId="4887"/>
    <cellStyle name="Normal 2 2 2 2 2 2 3" xfId="3109"/>
    <cellStyle name="Normal 2 2 2 2 2 3" xfId="3999"/>
    <cellStyle name="Normal 2 2 2 2 2 4" xfId="574"/>
    <cellStyle name="Normal 2 2 2 2 3" xfId="327"/>
    <cellStyle name="Normal 2 2 2 2 3 2" xfId="463"/>
    <cellStyle name="Normal 2 2 2 2 3 2 2" xfId="4851"/>
    <cellStyle name="Normal 2 2 2 2 3 3" xfId="3072"/>
    <cellStyle name="Normal 2 2 2 2 4" xfId="409"/>
    <cellStyle name="Normal 2 2 2 2 4 2" xfId="3963"/>
    <cellStyle name="Normal 2 2 2 2 5" xfId="538"/>
    <cellStyle name="Normal 2 2 2 3" xfId="250"/>
    <cellStyle name="Normal 2 2 2 3 2" xfId="348"/>
    <cellStyle name="Normal 2 2 2 3 2 2" xfId="483"/>
    <cellStyle name="Normal 2 2 2 3 2 2 2" xfId="4870"/>
    <cellStyle name="Normal 2 2 2 3 2 3" xfId="3091"/>
    <cellStyle name="Normal 2 2 2 3 3" xfId="424"/>
    <cellStyle name="Normal 2 2 2 3 3 2" xfId="3982"/>
    <cellStyle name="Normal 2 2 2 3 4" xfId="557"/>
    <cellStyle name="Normal 2 2 2 4" xfId="308"/>
    <cellStyle name="Normal 2 2 2 4 2" xfId="444"/>
    <cellStyle name="Normal 2 2 2 4 2 2" xfId="4834"/>
    <cellStyle name="Normal 2 2 2 4 3" xfId="3054"/>
    <cellStyle name="Normal 2 2 2 5" xfId="392"/>
    <cellStyle name="Normal 2 2 2 5 2" xfId="3946"/>
    <cellStyle name="Normal 2 2 2 6" xfId="521"/>
    <cellStyle name="Normal 2 2 3" xfId="224"/>
    <cellStyle name="Normal 2 2 3 2" xfId="366"/>
    <cellStyle name="Normal 2 2 3 2 2" xfId="500"/>
    <cellStyle name="Normal 2 2 3 2 2 2" xfId="4886"/>
    <cellStyle name="Normal 2 2 3 2 2 3" xfId="3108"/>
    <cellStyle name="Normal 2 2 3 2 3" xfId="3998"/>
    <cellStyle name="Normal 2 2 3 2 4" xfId="573"/>
    <cellStyle name="Normal 2 2 3 3" xfId="326"/>
    <cellStyle name="Normal 2 2 3 3 2" xfId="462"/>
    <cellStyle name="Normal 2 2 3 3 2 2" xfId="4850"/>
    <cellStyle name="Normal 2 2 3 3 3" xfId="3071"/>
    <cellStyle name="Normal 2 2 3 4" xfId="408"/>
    <cellStyle name="Normal 2 2 3 4 2" xfId="3962"/>
    <cellStyle name="Normal 2 2 3 5" xfId="537"/>
    <cellStyle name="Normal 2 2 4" xfId="249"/>
    <cellStyle name="Normal 2 2 4 2" xfId="347"/>
    <cellStyle name="Normal 2 2 4 2 2" xfId="482"/>
    <cellStyle name="Normal 2 2 4 2 2 2" xfId="4869"/>
    <cellStyle name="Normal 2 2 4 2 3" xfId="3090"/>
    <cellStyle name="Normal 2 2 4 3" xfId="3981"/>
    <cellStyle name="Normal 2 2 4 4" xfId="556"/>
    <cellStyle name="Normal 2 2 5" xfId="307"/>
    <cellStyle name="Normal 2 2 5 2" xfId="443"/>
    <cellStyle name="Normal 2 2 5 2 2" xfId="4833"/>
    <cellStyle name="Normal 2 2 5 3" xfId="3053"/>
    <cellStyle name="Normal 2 2 6" xfId="391"/>
    <cellStyle name="Normal 2 2 6 2" xfId="3945"/>
    <cellStyle name="Normal 2 2 7" xfId="520"/>
    <cellStyle name="Normal 2 3" xfId="85"/>
    <cellStyle name="Normal 2 3 2" xfId="86"/>
    <cellStyle name="Normal 2 3 3" xfId="87"/>
    <cellStyle name="Normal 2 3 3 2" xfId="226"/>
    <cellStyle name="Normal 2 3 3 2 2" xfId="368"/>
    <cellStyle name="Normal 2 3 3 2 2 2" xfId="502"/>
    <cellStyle name="Normal 2 3 3 2 2 2 2" xfId="4888"/>
    <cellStyle name="Normal 2 3 3 2 2 2 3" xfId="3110"/>
    <cellStyle name="Normal 2 3 3 2 2 3" xfId="4000"/>
    <cellStyle name="Normal 2 3 3 2 2 4" xfId="575"/>
    <cellStyle name="Normal 2 3 3 2 3" xfId="328"/>
    <cellStyle name="Normal 2 3 3 2 3 2" xfId="464"/>
    <cellStyle name="Normal 2 3 3 2 3 2 2" xfId="4852"/>
    <cellStyle name="Normal 2 3 3 2 3 3" xfId="3073"/>
    <cellStyle name="Normal 2 3 3 2 4" xfId="410"/>
    <cellStyle name="Normal 2 3 3 2 4 2" xfId="3964"/>
    <cellStyle name="Normal 2 3 3 2 5" xfId="539"/>
    <cellStyle name="Normal 2 3 3 3" xfId="349"/>
    <cellStyle name="Normal 2 3 3 3 2" xfId="484"/>
    <cellStyle name="Normal 2 3 3 3 2 2" xfId="4871"/>
    <cellStyle name="Normal 2 3 3 3 2 3" xfId="3092"/>
    <cellStyle name="Normal 2 3 3 3 3" xfId="3983"/>
    <cellStyle name="Normal 2 3 3 3 4" xfId="558"/>
    <cellStyle name="Normal 2 3 3 4" xfId="309"/>
    <cellStyle name="Normal 2 3 3 4 2" xfId="445"/>
    <cellStyle name="Normal 2 3 3 4 2 2" xfId="4835"/>
    <cellStyle name="Normal 2 3 3 4 3" xfId="3055"/>
    <cellStyle name="Normal 2 3 3 5" xfId="393"/>
    <cellStyle name="Normal 2 3 3 5 2" xfId="3947"/>
    <cellStyle name="Normal 2 3 3 6" xfId="522"/>
    <cellStyle name="Normal 2 3 4" xfId="251"/>
    <cellStyle name="Normal 2 4" xfId="88"/>
    <cellStyle name="Normal 2 4 2" xfId="227"/>
    <cellStyle name="Normal 2 4 2 2" xfId="369"/>
    <cellStyle name="Normal 2 4 2 2 2" xfId="503"/>
    <cellStyle name="Normal 2 4 2 2 2 2" xfId="4889"/>
    <cellStyle name="Normal 2 4 2 2 2 3" xfId="3111"/>
    <cellStyle name="Normal 2 4 2 2 3" xfId="4001"/>
    <cellStyle name="Normal 2 4 2 2 4" xfId="576"/>
    <cellStyle name="Normal 2 4 2 3" xfId="329"/>
    <cellStyle name="Normal 2 4 2 3 2" xfId="465"/>
    <cellStyle name="Normal 2 4 2 3 2 2" xfId="4853"/>
    <cellStyle name="Normal 2 4 2 3 3" xfId="3074"/>
    <cellStyle name="Normal 2 4 2 4" xfId="411"/>
    <cellStyle name="Normal 2 4 2 4 2" xfId="3965"/>
    <cellStyle name="Normal 2 4 2 5" xfId="540"/>
    <cellStyle name="Normal 2 4 3" xfId="350"/>
    <cellStyle name="Normal 2 4 3 2" xfId="485"/>
    <cellStyle name="Normal 2 4 3 2 2" xfId="4872"/>
    <cellStyle name="Normal 2 4 3 2 3" xfId="3093"/>
    <cellStyle name="Normal 2 4 3 3" xfId="3984"/>
    <cellStyle name="Normal 2 4 3 4" xfId="559"/>
    <cellStyle name="Normal 2 4 4" xfId="310"/>
    <cellStyle name="Normal 2 4 4 2" xfId="446"/>
    <cellStyle name="Normal 2 4 4 2 2" xfId="4836"/>
    <cellStyle name="Normal 2 4 4 3" xfId="3056"/>
    <cellStyle name="Normal 2 4 5" xfId="394"/>
    <cellStyle name="Normal 2 4 5 2" xfId="3948"/>
    <cellStyle name="Normal 2 4 6" xfId="523"/>
    <cellStyle name="Normal 2 5" xfId="89"/>
    <cellStyle name="Normal 2 5 2" xfId="228"/>
    <cellStyle name="Normal 2 5 2 2" xfId="370"/>
    <cellStyle name="Normal 2 5 2 2 2" xfId="504"/>
    <cellStyle name="Normal 2 5 2 2 2 2" xfId="4890"/>
    <cellStyle name="Normal 2 5 2 2 2 3" xfId="3112"/>
    <cellStyle name="Normal 2 5 2 2 3" xfId="4002"/>
    <cellStyle name="Normal 2 5 2 2 4" xfId="577"/>
    <cellStyle name="Normal 2 5 2 3" xfId="330"/>
    <cellStyle name="Normal 2 5 2 3 2" xfId="466"/>
    <cellStyle name="Normal 2 5 2 3 2 2" xfId="4854"/>
    <cellStyle name="Normal 2 5 2 3 3" xfId="3075"/>
    <cellStyle name="Normal 2 5 2 4" xfId="412"/>
    <cellStyle name="Normal 2 5 2 4 2" xfId="3966"/>
    <cellStyle name="Normal 2 5 2 5" xfId="541"/>
    <cellStyle name="Normal 2 5 3" xfId="351"/>
    <cellStyle name="Normal 2 5 3 2" xfId="486"/>
    <cellStyle name="Normal 2 5 3 2 2" xfId="4873"/>
    <cellStyle name="Normal 2 5 3 2 3" xfId="3094"/>
    <cellStyle name="Normal 2 5 3 3" xfId="3985"/>
    <cellStyle name="Normal 2 5 3 4" xfId="560"/>
    <cellStyle name="Normal 2 5 4" xfId="311"/>
    <cellStyle name="Normal 2 5 4 2" xfId="447"/>
    <cellStyle name="Normal 2 5 4 2 2" xfId="4837"/>
    <cellStyle name="Normal 2 5 4 3" xfId="3057"/>
    <cellStyle name="Normal 2 5 5" xfId="395"/>
    <cellStyle name="Normal 2 5 5 2" xfId="3949"/>
    <cellStyle name="Normal 2 5 6" xfId="524"/>
    <cellStyle name="Normal 2 6" xfId="90"/>
    <cellStyle name="Normal 2 6 2" xfId="229"/>
    <cellStyle name="Normal 2 6 2 2" xfId="371"/>
    <cellStyle name="Normal 2 6 2 2 2" xfId="505"/>
    <cellStyle name="Normal 2 6 2 2 2 2" xfId="4891"/>
    <cellStyle name="Normal 2 6 2 2 2 3" xfId="3113"/>
    <cellStyle name="Normal 2 6 2 2 3" xfId="4003"/>
    <cellStyle name="Normal 2 6 2 2 4" xfId="578"/>
    <cellStyle name="Normal 2 6 2 3" xfId="331"/>
    <cellStyle name="Normal 2 6 2 3 2" xfId="467"/>
    <cellStyle name="Normal 2 6 2 3 2 2" xfId="4855"/>
    <cellStyle name="Normal 2 6 2 3 3" xfId="3076"/>
    <cellStyle name="Normal 2 6 2 4" xfId="413"/>
    <cellStyle name="Normal 2 6 2 4 2" xfId="3967"/>
    <cellStyle name="Normal 2 6 2 5" xfId="542"/>
    <cellStyle name="Normal 2 6 3" xfId="352"/>
    <cellStyle name="Normal 2 6 3 2" xfId="487"/>
    <cellStyle name="Normal 2 6 3 2 2" xfId="4874"/>
    <cellStyle name="Normal 2 6 3 2 3" xfId="3095"/>
    <cellStyle name="Normal 2 6 3 3" xfId="3986"/>
    <cellStyle name="Normal 2 6 3 4" xfId="561"/>
    <cellStyle name="Normal 2 6 4" xfId="312"/>
    <cellStyle name="Normal 2 6 4 2" xfId="448"/>
    <cellStyle name="Normal 2 6 4 2 2" xfId="4838"/>
    <cellStyle name="Normal 2 6 4 3" xfId="3058"/>
    <cellStyle name="Normal 2 6 5" xfId="396"/>
    <cellStyle name="Normal 2 6 5 2" xfId="3950"/>
    <cellStyle name="Normal 2 6 6" xfId="525"/>
    <cellStyle name="Normal 2 7" xfId="219"/>
    <cellStyle name="Normal 2 7 2" xfId="236"/>
    <cellStyle name="Normal 2 7 2 2" xfId="378"/>
    <cellStyle name="Normal 2 7 2 2 2" xfId="512"/>
    <cellStyle name="Normal 2 7 2 2 2 2" xfId="4898"/>
    <cellStyle name="Normal 2 7 2 2 2 3" xfId="3120"/>
    <cellStyle name="Normal 2 7 2 2 3" xfId="4010"/>
    <cellStyle name="Normal 2 7 2 2 4" xfId="585"/>
    <cellStyle name="Normal 2 7 2 3" xfId="338"/>
    <cellStyle name="Normal 2 7 2 3 2" xfId="474"/>
    <cellStyle name="Normal 2 7 2 3 2 2" xfId="4862"/>
    <cellStyle name="Normal 2 7 2 3 3" xfId="3083"/>
    <cellStyle name="Normal 2 7 2 4" xfId="420"/>
    <cellStyle name="Normal 2 7 2 4 2" xfId="3974"/>
    <cellStyle name="Normal 2 7 2 5" xfId="549"/>
    <cellStyle name="Normal 2 7 3" xfId="361"/>
    <cellStyle name="Normal 2 7 3 2" xfId="495"/>
    <cellStyle name="Normal 2 7 3 2 2" xfId="4881"/>
    <cellStyle name="Normal 2 7 3 2 3" xfId="3103"/>
    <cellStyle name="Normal 2 7 3 3" xfId="3993"/>
    <cellStyle name="Normal 2 7 3 4" xfId="568"/>
    <cellStyle name="Normal 2 7 4" xfId="321"/>
    <cellStyle name="Normal 2 7 4 2" xfId="457"/>
    <cellStyle name="Normal 2 7 4 2 2" xfId="4845"/>
    <cellStyle name="Normal 2 7 4 3" xfId="3066"/>
    <cellStyle name="Normal 2 7 5" xfId="403"/>
    <cellStyle name="Normal 2 7 5 2" xfId="3957"/>
    <cellStyle name="Normal 2 7 6" xfId="532"/>
    <cellStyle name="Normal 2 8" xfId="221"/>
    <cellStyle name="Normal 2 8 2" xfId="363"/>
    <cellStyle name="Normal 2 8 2 2" xfId="497"/>
    <cellStyle name="Normal 2 8 2 2 2" xfId="4883"/>
    <cellStyle name="Normal 2 8 2 2 3" xfId="3105"/>
    <cellStyle name="Normal 2 8 2 3" xfId="3995"/>
    <cellStyle name="Normal 2 8 2 4" xfId="570"/>
    <cellStyle name="Normal 2 8 3" xfId="323"/>
    <cellStyle name="Normal 2 8 3 2" xfId="459"/>
    <cellStyle name="Normal 2 8 3 2 2" xfId="4847"/>
    <cellStyle name="Normal 2 8 3 3" xfId="3068"/>
    <cellStyle name="Normal 2 8 4" xfId="405"/>
    <cellStyle name="Normal 2 8 4 2" xfId="3959"/>
    <cellStyle name="Normal 2 8 5" xfId="534"/>
    <cellStyle name="Normal 2 9" xfId="248"/>
    <cellStyle name="Normal 2 9 2" xfId="344"/>
    <cellStyle name="Normal 2 9 2 2" xfId="479"/>
    <cellStyle name="Normal 2 9 2 2 2" xfId="4866"/>
    <cellStyle name="Normal 2 9 2 3" xfId="3087"/>
    <cellStyle name="Normal 2 9 3" xfId="3978"/>
    <cellStyle name="Normal 2 9 4" xfId="553"/>
    <cellStyle name="Normal 2_Посохов _ LESSAR 01.06.09" xfId="6"/>
    <cellStyle name="Normal 3" xfId="91"/>
    <cellStyle name="Normal 3 2" xfId="92"/>
    <cellStyle name="Normal 3 3" xfId="93"/>
    <cellStyle name="Normal 3 4" xfId="596"/>
    <cellStyle name="Normal 3 4 2" xfId="3131"/>
    <cellStyle name="Normal 3 4 2 2" xfId="4909"/>
    <cellStyle name="Normal 3 4 3" xfId="4021"/>
    <cellStyle name="Normal 4" xfId="94"/>
    <cellStyle name="Normal 4 10" xfId="3951"/>
    <cellStyle name="Normal 4 11" xfId="526"/>
    <cellStyle name="Normal 4 2" xfId="95"/>
    <cellStyle name="Normal 4 2 2" xfId="231"/>
    <cellStyle name="Normal 4 2 2 2" xfId="373"/>
    <cellStyle name="Normal 4 2 2 2 2" xfId="507"/>
    <cellStyle name="Normal 4 2 2 2 2 2" xfId="4893"/>
    <cellStyle name="Normal 4 2 2 2 2 3" xfId="3115"/>
    <cellStyle name="Normal 4 2 2 2 3" xfId="4005"/>
    <cellStyle name="Normal 4 2 2 2 4" xfId="580"/>
    <cellStyle name="Normal 4 2 2 3" xfId="333"/>
    <cellStyle name="Normal 4 2 2 3 2" xfId="469"/>
    <cellStyle name="Normal 4 2 2 3 2 2" xfId="4857"/>
    <cellStyle name="Normal 4 2 2 3 3" xfId="3078"/>
    <cellStyle name="Normal 4 2 2 4" xfId="415"/>
    <cellStyle name="Normal 4 2 2 4 2" xfId="3969"/>
    <cellStyle name="Normal 4 2 2 5" xfId="544"/>
    <cellStyle name="Normal 4 2 3" xfId="354"/>
    <cellStyle name="Normal 4 2 3 2" xfId="489"/>
    <cellStyle name="Normal 4 2 3 2 2" xfId="4876"/>
    <cellStyle name="Normal 4 2 3 2 3" xfId="3097"/>
    <cellStyle name="Normal 4 2 3 3" xfId="3988"/>
    <cellStyle name="Normal 4 2 3 4" xfId="563"/>
    <cellStyle name="Normal 4 2 4" xfId="314"/>
    <cellStyle name="Normal 4 2 4 2" xfId="450"/>
    <cellStyle name="Normal 4 2 4 2 2" xfId="4840"/>
    <cellStyle name="Normal 4 2 4 3" xfId="3060"/>
    <cellStyle name="Normal 4 2 5" xfId="398"/>
    <cellStyle name="Normal 4 2 5 2" xfId="3952"/>
    <cellStyle name="Normal 4 2 6" xfId="527"/>
    <cellStyle name="Normal 4 3" xfId="96"/>
    <cellStyle name="Normal 4 4" xfId="97"/>
    <cellStyle name="Normal 4 4 2" xfId="232"/>
    <cellStyle name="Normal 4 4 2 2" xfId="374"/>
    <cellStyle name="Normal 4 4 2 2 2" xfId="508"/>
    <cellStyle name="Normal 4 4 2 2 2 2" xfId="4894"/>
    <cellStyle name="Normal 4 4 2 2 2 3" xfId="3116"/>
    <cellStyle name="Normal 4 4 2 2 3" xfId="4006"/>
    <cellStyle name="Normal 4 4 2 2 4" xfId="581"/>
    <cellStyle name="Normal 4 4 2 3" xfId="334"/>
    <cellStyle name="Normal 4 4 2 3 2" xfId="470"/>
    <cellStyle name="Normal 4 4 2 3 2 2" xfId="4858"/>
    <cellStyle name="Normal 4 4 2 3 3" xfId="3079"/>
    <cellStyle name="Normal 4 4 2 4" xfId="416"/>
    <cellStyle name="Normal 4 4 2 4 2" xfId="3970"/>
    <cellStyle name="Normal 4 4 2 5" xfId="545"/>
    <cellStyle name="Normal 4 4 3" xfId="355"/>
    <cellStyle name="Normal 4 4 3 2" xfId="490"/>
    <cellStyle name="Normal 4 4 3 2 2" xfId="4877"/>
    <cellStyle name="Normal 4 4 3 2 3" xfId="3098"/>
    <cellStyle name="Normal 4 4 3 3" xfId="3989"/>
    <cellStyle name="Normal 4 4 3 4" xfId="564"/>
    <cellStyle name="Normal 4 4 4" xfId="315"/>
    <cellStyle name="Normal 4 4 4 2" xfId="451"/>
    <cellStyle name="Normal 4 4 4 2 2" xfId="4841"/>
    <cellStyle name="Normal 4 4 4 3" xfId="3061"/>
    <cellStyle name="Normal 4 4 5" xfId="399"/>
    <cellStyle name="Normal 4 4 5 2" xfId="3953"/>
    <cellStyle name="Normal 4 4 6" xfId="528"/>
    <cellStyle name="Normal 4 5" xfId="220"/>
    <cellStyle name="Normal 4 5 2" xfId="237"/>
    <cellStyle name="Normal 4 5 2 2" xfId="379"/>
    <cellStyle name="Normal 4 5 2 2 2" xfId="513"/>
    <cellStyle name="Normal 4 5 2 2 2 2" xfId="4899"/>
    <cellStyle name="Normal 4 5 2 2 2 3" xfId="3121"/>
    <cellStyle name="Normal 4 5 2 2 3" xfId="4011"/>
    <cellStyle name="Normal 4 5 2 2 4" xfId="586"/>
    <cellStyle name="Normal 4 5 2 3" xfId="339"/>
    <cellStyle name="Normal 4 5 2 3 2" xfId="475"/>
    <cellStyle name="Normal 4 5 2 3 2 2" xfId="4863"/>
    <cellStyle name="Normal 4 5 2 3 3" xfId="3084"/>
    <cellStyle name="Normal 4 5 2 4" xfId="421"/>
    <cellStyle name="Normal 4 5 2 4 2" xfId="3975"/>
    <cellStyle name="Normal 4 5 2 5" xfId="550"/>
    <cellStyle name="Normal 4 5 3" xfId="362"/>
    <cellStyle name="Normal 4 5 3 2" xfId="496"/>
    <cellStyle name="Normal 4 5 3 2 2" xfId="4882"/>
    <cellStyle name="Normal 4 5 3 2 3" xfId="3104"/>
    <cellStyle name="Normal 4 5 3 3" xfId="3994"/>
    <cellStyle name="Normal 4 5 3 4" xfId="569"/>
    <cellStyle name="Normal 4 5 4" xfId="322"/>
    <cellStyle name="Normal 4 5 4 2" xfId="458"/>
    <cellStyle name="Normal 4 5 4 2 2" xfId="4846"/>
    <cellStyle name="Normal 4 5 4 3" xfId="3067"/>
    <cellStyle name="Normal 4 5 5" xfId="404"/>
    <cellStyle name="Normal 4 5 5 2" xfId="3958"/>
    <cellStyle name="Normal 4 5 6" xfId="533"/>
    <cellStyle name="Normal 4 6" xfId="230"/>
    <cellStyle name="Normal 4 6 2" xfId="372"/>
    <cellStyle name="Normal 4 6 2 2" xfId="506"/>
    <cellStyle name="Normal 4 6 2 2 2" xfId="4892"/>
    <cellStyle name="Normal 4 6 2 2 3" xfId="3114"/>
    <cellStyle name="Normal 4 6 2 3" xfId="4004"/>
    <cellStyle name="Normal 4 6 2 4" xfId="579"/>
    <cellStyle name="Normal 4 6 3" xfId="332"/>
    <cellStyle name="Normal 4 6 3 2" xfId="468"/>
    <cellStyle name="Normal 4 6 3 2 2" xfId="4856"/>
    <cellStyle name="Normal 4 6 3 3" xfId="3077"/>
    <cellStyle name="Normal 4 6 4" xfId="414"/>
    <cellStyle name="Normal 4 6 4 2" xfId="3968"/>
    <cellStyle name="Normal 4 6 5" xfId="543"/>
    <cellStyle name="Normal 4 7" xfId="353"/>
    <cellStyle name="Normal 4 7 2" xfId="488"/>
    <cellStyle name="Normal 4 7 2 2" xfId="4875"/>
    <cellStyle name="Normal 4 7 2 3" xfId="3096"/>
    <cellStyle name="Normal 4 7 3" xfId="3987"/>
    <cellStyle name="Normal 4 7 4" xfId="562"/>
    <cellStyle name="Normal 4 8" xfId="313"/>
    <cellStyle name="Normal 4 8 2" xfId="449"/>
    <cellStyle name="Normal 4 8 2 2" xfId="4910"/>
    <cellStyle name="Normal 4 8 2 3" xfId="3132"/>
    <cellStyle name="Normal 4 8 3" xfId="4022"/>
    <cellStyle name="Normal 4 8 4" xfId="597"/>
    <cellStyle name="Normal 4 9" xfId="397"/>
    <cellStyle name="Normal 4 9 2" xfId="4839"/>
    <cellStyle name="Normal 4 9 3" xfId="3059"/>
    <cellStyle name="Normal 5" xfId="598"/>
    <cellStyle name="Normal 5 2" xfId="3133"/>
    <cellStyle name="Normal 5 2 2" xfId="4911"/>
    <cellStyle name="Normal 5 3" xfId="4023"/>
    <cellStyle name="Normal 7" xfId="599"/>
    <cellStyle name="Normal 7 2" xfId="3134"/>
    <cellStyle name="Normal 7 2 2" xfId="4912"/>
    <cellStyle name="Normal 7 3" xfId="4024"/>
    <cellStyle name="Normal 8" xfId="600"/>
    <cellStyle name="Normal 8 2" xfId="3135"/>
    <cellStyle name="Normal 8 2 2" xfId="4913"/>
    <cellStyle name="Normal 8 3" xfId="4025"/>
    <cellStyle name="Normal 9" xfId="590"/>
    <cellStyle name="Normal 9 2" xfId="601"/>
    <cellStyle name="Normal 9 2 2" xfId="3136"/>
    <cellStyle name="Normal 9 2 2 2" xfId="4914"/>
    <cellStyle name="Normal 9 2 3" xfId="4026"/>
    <cellStyle name="Normal 9 3" xfId="3125"/>
    <cellStyle name="Normal 9 3 2" xfId="4903"/>
    <cellStyle name="Normal 9 4" xfId="4015"/>
    <cellStyle name="Normal_AHU 2" xfId="98"/>
    <cellStyle name="Акцент1 2" xfId="99"/>
    <cellStyle name="Акцент1 3" xfId="100"/>
    <cellStyle name="Акцент1 4" xfId="101"/>
    <cellStyle name="Акцент1 5" xfId="102"/>
    <cellStyle name="Акцент2 2" xfId="103"/>
    <cellStyle name="Акцент2 3" xfId="104"/>
    <cellStyle name="Акцент2 4" xfId="105"/>
    <cellStyle name="Акцент2 5" xfId="106"/>
    <cellStyle name="Акцент3 2" xfId="107"/>
    <cellStyle name="Акцент3 3" xfId="108"/>
    <cellStyle name="Акцент3 4" xfId="109"/>
    <cellStyle name="Акцент3 5" xfId="110"/>
    <cellStyle name="Акцент4 2" xfId="111"/>
    <cellStyle name="Акцент4 3" xfId="112"/>
    <cellStyle name="Акцент4 4" xfId="113"/>
    <cellStyle name="Акцент4 5" xfId="114"/>
    <cellStyle name="Акцент5 2" xfId="115"/>
    <cellStyle name="Акцент5 3" xfId="116"/>
    <cellStyle name="Акцент5 4" xfId="117"/>
    <cellStyle name="Акцент5 5" xfId="118"/>
    <cellStyle name="Акцент6 2" xfId="119"/>
    <cellStyle name="Акцент6 3" xfId="120"/>
    <cellStyle name="Акцент6 4" xfId="121"/>
    <cellStyle name="Акцент6 5" xfId="122"/>
    <cellStyle name="Ввод  2" xfId="123"/>
    <cellStyle name="Ввод  3" xfId="124"/>
    <cellStyle name="Ввод  4" xfId="125"/>
    <cellStyle name="Ввод  5" xfId="126"/>
    <cellStyle name="Вывод 2" xfId="127"/>
    <cellStyle name="Вывод 3" xfId="128"/>
    <cellStyle name="Вывод 4" xfId="129"/>
    <cellStyle name="Вывод 5" xfId="130"/>
    <cellStyle name="Вычисление 2" xfId="131"/>
    <cellStyle name="Вычисление 3" xfId="132"/>
    <cellStyle name="Вычисление 4" xfId="133"/>
    <cellStyle name="Вычисление 5" xfId="134"/>
    <cellStyle name="Гиперссылка" xfId="239" builtinId="8"/>
    <cellStyle name="Гиперссылка 2" xfId="135"/>
    <cellStyle name="Гиперссылка 3" xfId="136"/>
    <cellStyle name="Гиперссылка 3 2" xfId="252"/>
    <cellStyle name="Денежный [0] 2" xfId="253"/>
    <cellStyle name="Денежный [0] 3" xfId="254"/>
    <cellStyle name="Денежный 2" xfId="137"/>
    <cellStyle name="Денежный 3" xfId="138"/>
    <cellStyle name="Денежный 4" xfId="139"/>
    <cellStyle name="Заголовок 1 2" xfId="140"/>
    <cellStyle name="Заголовок 1 3" xfId="141"/>
    <cellStyle name="Заголовок 1 4" xfId="142"/>
    <cellStyle name="Заголовок 1 5" xfId="143"/>
    <cellStyle name="Заголовок 2 2" xfId="144"/>
    <cellStyle name="Заголовок 2 3" xfId="145"/>
    <cellStyle name="Заголовок 2 4" xfId="146"/>
    <cellStyle name="Заголовок 2 5" xfId="147"/>
    <cellStyle name="Заголовок 3 2" xfId="148"/>
    <cellStyle name="Заголовок 3 3" xfId="149"/>
    <cellStyle name="Заголовок 3 4" xfId="150"/>
    <cellStyle name="Заголовок 3 5" xfId="151"/>
    <cellStyle name="Заголовок 4 2" xfId="152"/>
    <cellStyle name="Заголовок 4 3" xfId="153"/>
    <cellStyle name="Заголовок 4 4" xfId="154"/>
    <cellStyle name="Заголовок 4 5" xfId="155"/>
    <cellStyle name="Итог 2" xfId="156"/>
    <cellStyle name="Итог 3" xfId="157"/>
    <cellStyle name="Итог 4" xfId="158"/>
    <cellStyle name="Итог 5" xfId="159"/>
    <cellStyle name="Контрольная ячейка 2" xfId="160"/>
    <cellStyle name="Контрольная ячейка 3" xfId="161"/>
    <cellStyle name="Контрольная ячейка 4" xfId="162"/>
    <cellStyle name="Контрольная ячейка 5" xfId="163"/>
    <cellStyle name="мой" xfId="685"/>
    <cellStyle name="Название 2" xfId="164"/>
    <cellStyle name="Название 3" xfId="165"/>
    <cellStyle name="Название 4" xfId="166"/>
    <cellStyle name="Название 5" xfId="167"/>
    <cellStyle name="Нейтральный 2" xfId="168"/>
    <cellStyle name="Нейтральный 3" xfId="169"/>
    <cellStyle name="Нейтральный 4" xfId="170"/>
    <cellStyle name="Нейтральный 5" xfId="171"/>
    <cellStyle name="Обычный" xfId="0" builtinId="0"/>
    <cellStyle name="Обычный 10" xfId="255"/>
    <cellStyle name="Обычный 10 2" xfId="343"/>
    <cellStyle name="Обычный 10 2 2" xfId="478"/>
    <cellStyle name="Обычный 10 2 3" xfId="802"/>
    <cellStyle name="Обычный 10 3" xfId="385"/>
    <cellStyle name="Обычный 11" xfId="256"/>
    <cellStyle name="Обычный 11 2" xfId="382"/>
    <cellStyle name="Обычный 11 2 2" xfId="516"/>
    <cellStyle name="Обычный 11 2 3" xfId="806"/>
    <cellStyle name="Обычный 11 3" xfId="425"/>
    <cellStyle name="Обычный 11 3 2" xfId="4902"/>
    <cellStyle name="Обычный 11 3 3" xfId="3124"/>
    <cellStyle name="Обычный 11 4" xfId="4014"/>
    <cellStyle name="Обычный 11 5" xfId="589"/>
    <cellStyle name="Обычный 12" xfId="257"/>
    <cellStyle name="Обычный 12 2" xfId="809"/>
    <cellStyle name="Обычный 13" xfId="258"/>
    <cellStyle name="Обычный 13 2" xfId="812"/>
    <cellStyle name="Обычный 14" xfId="259"/>
    <cellStyle name="Обычный 14 2" xfId="815"/>
    <cellStyle name="Обычный 15" xfId="240"/>
    <cellStyle name="Обычный 15 2" xfId="423"/>
    <cellStyle name="Обычный 15 3" xfId="818"/>
    <cellStyle name="Обычный 16" xfId="303"/>
    <cellStyle name="Обычный 16 2" xfId="439"/>
    <cellStyle name="Обычный 16 3" xfId="821"/>
    <cellStyle name="Обычный 17" xfId="824"/>
    <cellStyle name="Обычный 18" xfId="827"/>
    <cellStyle name="Обычный 19" xfId="830"/>
    <cellStyle name="Обычный 2" xfId="3"/>
    <cellStyle name="Обычный 2 10" xfId="611"/>
    <cellStyle name="Обычный 2 100" xfId="1276"/>
    <cellStyle name="Обычный 2 100 10" xfId="2735"/>
    <cellStyle name="Обычный 2 100 10 2" xfId="3706"/>
    <cellStyle name="Обычный 2 100 10 2 2" xfId="5483"/>
    <cellStyle name="Обычный 2 100 10 3" xfId="4595"/>
    <cellStyle name="Обычный 2 100 11" xfId="2805"/>
    <cellStyle name="Обычный 2 100 11 2" xfId="3755"/>
    <cellStyle name="Обычный 2 100 11 2 2" xfId="5532"/>
    <cellStyle name="Обычный 2 100 11 3" xfId="4644"/>
    <cellStyle name="Обычный 2 100 12" xfId="2875"/>
    <cellStyle name="Обычный 2 100 12 2" xfId="3804"/>
    <cellStyle name="Обычный 2 100 12 2 2" xfId="5581"/>
    <cellStyle name="Обычный 2 100 12 3" xfId="4693"/>
    <cellStyle name="Обычный 2 100 13" xfId="2943"/>
    <cellStyle name="Обычный 2 100 13 2" xfId="3853"/>
    <cellStyle name="Обычный 2 100 13 2 2" xfId="5630"/>
    <cellStyle name="Обычный 2 100 13 3" xfId="4742"/>
    <cellStyle name="Обычный 2 100 14" xfId="3005"/>
    <cellStyle name="Обычный 2 100 14 2" xfId="3902"/>
    <cellStyle name="Обычный 2 100 14 2 2" xfId="5679"/>
    <cellStyle name="Обычный 2 100 14 3" xfId="4791"/>
    <cellStyle name="Обычный 2 100 2" xfId="2077"/>
    <cellStyle name="Обычный 2 100 2 2" xfId="3288"/>
    <cellStyle name="Обычный 2 100 2 2 2" xfId="5065"/>
    <cellStyle name="Обычный 2 100 2 3" xfId="4177"/>
    <cellStyle name="Обычный 2 100 3" xfId="2164"/>
    <cellStyle name="Обычный 2 100 3 2" xfId="3341"/>
    <cellStyle name="Обычный 2 100 3 2 2" xfId="5118"/>
    <cellStyle name="Обычный 2 100 3 3" xfId="4230"/>
    <cellStyle name="Обычный 2 100 4" xfId="2250"/>
    <cellStyle name="Обычный 2 100 4 2" xfId="3394"/>
    <cellStyle name="Обычный 2 100 4 2 2" xfId="5171"/>
    <cellStyle name="Обычный 2 100 4 3" xfId="4283"/>
    <cellStyle name="Обычный 2 100 5" xfId="2334"/>
    <cellStyle name="Обычный 2 100 5 2" xfId="3447"/>
    <cellStyle name="Обычный 2 100 5 2 2" xfId="5224"/>
    <cellStyle name="Обычный 2 100 5 3" xfId="4336"/>
    <cellStyle name="Обычный 2 100 6" xfId="2418"/>
    <cellStyle name="Обычный 2 100 6 2" xfId="3500"/>
    <cellStyle name="Обычный 2 100 6 2 2" xfId="5277"/>
    <cellStyle name="Обычный 2 100 6 3" xfId="4389"/>
    <cellStyle name="Обычный 2 100 7" xfId="2501"/>
    <cellStyle name="Обычный 2 100 7 2" xfId="3553"/>
    <cellStyle name="Обычный 2 100 7 2 2" xfId="5330"/>
    <cellStyle name="Обычный 2 100 7 3" xfId="4442"/>
    <cellStyle name="Обычный 2 100 8" xfId="2582"/>
    <cellStyle name="Обычный 2 100 8 2" xfId="3605"/>
    <cellStyle name="Обычный 2 100 8 2 2" xfId="5382"/>
    <cellStyle name="Обычный 2 100 8 3" xfId="4494"/>
    <cellStyle name="Обычный 2 100 9" xfId="2660"/>
    <cellStyle name="Обычный 2 100 9 2" xfId="3656"/>
    <cellStyle name="Обычный 2 100 9 2 2" xfId="5433"/>
    <cellStyle name="Обычный 2 100 9 3" xfId="4545"/>
    <cellStyle name="Обычный 2 101" xfId="691"/>
    <cellStyle name="Обычный 2 101 10" xfId="2740"/>
    <cellStyle name="Обычный 2 101 10 2" xfId="3710"/>
    <cellStyle name="Обычный 2 101 10 2 2" xfId="5487"/>
    <cellStyle name="Обычный 2 101 10 3" xfId="4599"/>
    <cellStyle name="Обычный 2 101 11" xfId="2810"/>
    <cellStyle name="Обычный 2 101 11 2" xfId="3759"/>
    <cellStyle name="Обычный 2 101 11 2 2" xfId="5536"/>
    <cellStyle name="Обычный 2 101 11 3" xfId="4648"/>
    <cellStyle name="Обычный 2 101 12" xfId="2880"/>
    <cellStyle name="Обычный 2 101 12 2" xfId="3808"/>
    <cellStyle name="Обычный 2 101 12 2 2" xfId="5585"/>
    <cellStyle name="Обычный 2 101 12 3" xfId="4697"/>
    <cellStyle name="Обычный 2 101 13" xfId="2948"/>
    <cellStyle name="Обычный 2 101 13 2" xfId="3857"/>
    <cellStyle name="Обычный 2 101 13 2 2" xfId="5634"/>
    <cellStyle name="Обычный 2 101 13 3" xfId="4746"/>
    <cellStyle name="Обычный 2 101 14" xfId="3010"/>
    <cellStyle name="Обычный 2 101 14 2" xfId="3906"/>
    <cellStyle name="Обычный 2 101 14 2 2" xfId="5683"/>
    <cellStyle name="Обычный 2 101 14 3" xfId="4795"/>
    <cellStyle name="Обычный 2 101 2" xfId="2082"/>
    <cellStyle name="Обычный 2 101 2 2" xfId="3292"/>
    <cellStyle name="Обычный 2 101 2 2 2" xfId="5069"/>
    <cellStyle name="Обычный 2 101 2 3" xfId="4181"/>
    <cellStyle name="Обычный 2 101 3" xfId="2169"/>
    <cellStyle name="Обычный 2 101 3 2" xfId="3345"/>
    <cellStyle name="Обычный 2 101 3 2 2" xfId="5122"/>
    <cellStyle name="Обычный 2 101 3 3" xfId="4234"/>
    <cellStyle name="Обычный 2 101 4" xfId="2255"/>
    <cellStyle name="Обычный 2 101 4 2" xfId="3398"/>
    <cellStyle name="Обычный 2 101 4 2 2" xfId="5175"/>
    <cellStyle name="Обычный 2 101 4 3" xfId="4287"/>
    <cellStyle name="Обычный 2 101 5" xfId="2339"/>
    <cellStyle name="Обычный 2 101 5 2" xfId="3451"/>
    <cellStyle name="Обычный 2 101 5 2 2" xfId="5228"/>
    <cellStyle name="Обычный 2 101 5 3" xfId="4340"/>
    <cellStyle name="Обычный 2 101 6" xfId="2423"/>
    <cellStyle name="Обычный 2 101 6 2" xfId="3504"/>
    <cellStyle name="Обычный 2 101 6 2 2" xfId="5281"/>
    <cellStyle name="Обычный 2 101 6 3" xfId="4393"/>
    <cellStyle name="Обычный 2 101 7" xfId="2506"/>
    <cellStyle name="Обычный 2 101 7 2" xfId="3557"/>
    <cellStyle name="Обычный 2 101 7 2 2" xfId="5334"/>
    <cellStyle name="Обычный 2 101 7 3" xfId="4446"/>
    <cellStyle name="Обычный 2 101 8" xfId="2587"/>
    <cellStyle name="Обычный 2 101 8 2" xfId="3609"/>
    <cellStyle name="Обычный 2 101 8 2 2" xfId="5386"/>
    <cellStyle name="Обычный 2 101 8 3" xfId="4498"/>
    <cellStyle name="Обычный 2 101 9" xfId="2665"/>
    <cellStyle name="Обычный 2 101 9 2" xfId="3660"/>
    <cellStyle name="Обычный 2 101 9 2 2" xfId="5437"/>
    <cellStyle name="Обычный 2 101 9 3" xfId="4549"/>
    <cellStyle name="Обычный 2 102" xfId="1409"/>
    <cellStyle name="Обычный 2 102 10" xfId="2745"/>
    <cellStyle name="Обычный 2 102 10 2" xfId="3714"/>
    <cellStyle name="Обычный 2 102 10 2 2" xfId="5491"/>
    <cellStyle name="Обычный 2 102 10 3" xfId="4603"/>
    <cellStyle name="Обычный 2 102 11" xfId="2815"/>
    <cellStyle name="Обычный 2 102 11 2" xfId="3763"/>
    <cellStyle name="Обычный 2 102 11 2 2" xfId="5540"/>
    <cellStyle name="Обычный 2 102 11 3" xfId="4652"/>
    <cellStyle name="Обычный 2 102 12" xfId="2885"/>
    <cellStyle name="Обычный 2 102 12 2" xfId="3812"/>
    <cellStyle name="Обычный 2 102 12 2 2" xfId="5589"/>
    <cellStyle name="Обычный 2 102 12 3" xfId="4701"/>
    <cellStyle name="Обычный 2 102 13" xfId="2953"/>
    <cellStyle name="Обычный 2 102 13 2" xfId="3861"/>
    <cellStyle name="Обычный 2 102 13 2 2" xfId="5638"/>
    <cellStyle name="Обычный 2 102 13 3" xfId="4750"/>
    <cellStyle name="Обычный 2 102 14" xfId="3015"/>
    <cellStyle name="Обычный 2 102 14 2" xfId="3910"/>
    <cellStyle name="Обычный 2 102 14 2 2" xfId="5687"/>
    <cellStyle name="Обычный 2 102 14 3" xfId="4799"/>
    <cellStyle name="Обычный 2 102 2" xfId="2087"/>
    <cellStyle name="Обычный 2 102 2 2" xfId="3296"/>
    <cellStyle name="Обычный 2 102 2 2 2" xfId="5073"/>
    <cellStyle name="Обычный 2 102 2 3" xfId="4185"/>
    <cellStyle name="Обычный 2 102 3" xfId="2174"/>
    <cellStyle name="Обычный 2 102 3 2" xfId="3349"/>
    <cellStyle name="Обычный 2 102 3 2 2" xfId="5126"/>
    <cellStyle name="Обычный 2 102 3 3" xfId="4238"/>
    <cellStyle name="Обычный 2 102 4" xfId="2260"/>
    <cellStyle name="Обычный 2 102 4 2" xfId="3402"/>
    <cellStyle name="Обычный 2 102 4 2 2" xfId="5179"/>
    <cellStyle name="Обычный 2 102 4 3" xfId="4291"/>
    <cellStyle name="Обычный 2 102 5" xfId="2344"/>
    <cellStyle name="Обычный 2 102 5 2" xfId="3455"/>
    <cellStyle name="Обычный 2 102 5 2 2" xfId="5232"/>
    <cellStyle name="Обычный 2 102 5 3" xfId="4344"/>
    <cellStyle name="Обычный 2 102 6" xfId="2428"/>
    <cellStyle name="Обычный 2 102 6 2" xfId="3508"/>
    <cellStyle name="Обычный 2 102 6 2 2" xfId="5285"/>
    <cellStyle name="Обычный 2 102 6 3" xfId="4397"/>
    <cellStyle name="Обычный 2 102 7" xfId="2511"/>
    <cellStyle name="Обычный 2 102 7 2" xfId="3561"/>
    <cellStyle name="Обычный 2 102 7 2 2" xfId="5338"/>
    <cellStyle name="Обычный 2 102 7 3" xfId="4450"/>
    <cellStyle name="Обычный 2 102 8" xfId="2592"/>
    <cellStyle name="Обычный 2 102 8 2" xfId="3613"/>
    <cellStyle name="Обычный 2 102 8 2 2" xfId="5390"/>
    <cellStyle name="Обычный 2 102 8 3" xfId="4502"/>
    <cellStyle name="Обычный 2 102 9" xfId="2670"/>
    <cellStyle name="Обычный 2 102 9 2" xfId="3664"/>
    <cellStyle name="Обычный 2 102 9 2 2" xfId="5441"/>
    <cellStyle name="Обычный 2 102 9 3" xfId="4553"/>
    <cellStyle name="Обычный 2 103" xfId="1125"/>
    <cellStyle name="Обычный 2 103 10" xfId="2750"/>
    <cellStyle name="Обычный 2 103 10 2" xfId="3718"/>
    <cellStyle name="Обычный 2 103 10 2 2" xfId="5495"/>
    <cellStyle name="Обычный 2 103 10 3" xfId="4607"/>
    <cellStyle name="Обычный 2 103 11" xfId="2820"/>
    <cellStyle name="Обычный 2 103 11 2" xfId="3767"/>
    <cellStyle name="Обычный 2 103 11 2 2" xfId="5544"/>
    <cellStyle name="Обычный 2 103 11 3" xfId="4656"/>
    <cellStyle name="Обычный 2 103 12" xfId="2890"/>
    <cellStyle name="Обычный 2 103 12 2" xfId="3816"/>
    <cellStyle name="Обычный 2 103 12 2 2" xfId="5593"/>
    <cellStyle name="Обычный 2 103 12 3" xfId="4705"/>
    <cellStyle name="Обычный 2 103 13" xfId="2958"/>
    <cellStyle name="Обычный 2 103 13 2" xfId="3865"/>
    <cellStyle name="Обычный 2 103 13 2 2" xfId="5642"/>
    <cellStyle name="Обычный 2 103 13 3" xfId="4754"/>
    <cellStyle name="Обычный 2 103 14" xfId="3020"/>
    <cellStyle name="Обычный 2 103 14 2" xfId="3914"/>
    <cellStyle name="Обычный 2 103 14 2 2" xfId="5691"/>
    <cellStyle name="Обычный 2 103 14 3" xfId="4803"/>
    <cellStyle name="Обычный 2 103 2" xfId="2092"/>
    <cellStyle name="Обычный 2 103 2 2" xfId="3300"/>
    <cellStyle name="Обычный 2 103 2 2 2" xfId="5077"/>
    <cellStyle name="Обычный 2 103 2 3" xfId="4189"/>
    <cellStyle name="Обычный 2 103 3" xfId="2179"/>
    <cellStyle name="Обычный 2 103 3 2" xfId="3353"/>
    <cellStyle name="Обычный 2 103 3 2 2" xfId="5130"/>
    <cellStyle name="Обычный 2 103 3 3" xfId="4242"/>
    <cellStyle name="Обычный 2 103 4" xfId="2265"/>
    <cellStyle name="Обычный 2 103 4 2" xfId="3406"/>
    <cellStyle name="Обычный 2 103 4 2 2" xfId="5183"/>
    <cellStyle name="Обычный 2 103 4 3" xfId="4295"/>
    <cellStyle name="Обычный 2 103 5" xfId="2349"/>
    <cellStyle name="Обычный 2 103 5 2" xfId="3459"/>
    <cellStyle name="Обычный 2 103 5 2 2" xfId="5236"/>
    <cellStyle name="Обычный 2 103 5 3" xfId="4348"/>
    <cellStyle name="Обычный 2 103 6" xfId="2433"/>
    <cellStyle name="Обычный 2 103 6 2" xfId="3512"/>
    <cellStyle name="Обычный 2 103 6 2 2" xfId="5289"/>
    <cellStyle name="Обычный 2 103 6 3" xfId="4401"/>
    <cellStyle name="Обычный 2 103 7" xfId="2516"/>
    <cellStyle name="Обычный 2 103 7 2" xfId="3565"/>
    <cellStyle name="Обычный 2 103 7 2 2" xfId="5342"/>
    <cellStyle name="Обычный 2 103 7 3" xfId="4454"/>
    <cellStyle name="Обычный 2 103 8" xfId="2597"/>
    <cellStyle name="Обычный 2 103 8 2" xfId="3617"/>
    <cellStyle name="Обычный 2 103 8 2 2" xfId="5394"/>
    <cellStyle name="Обычный 2 103 8 3" xfId="4506"/>
    <cellStyle name="Обычный 2 103 9" xfId="2675"/>
    <cellStyle name="Обычный 2 103 9 2" xfId="3668"/>
    <cellStyle name="Обычный 2 103 9 2 2" xfId="5445"/>
    <cellStyle name="Обычный 2 103 9 3" xfId="4557"/>
    <cellStyle name="Обычный 2 104" xfId="1343"/>
    <cellStyle name="Обычный 2 104 10" xfId="2755"/>
    <cellStyle name="Обычный 2 104 10 2" xfId="3722"/>
    <cellStyle name="Обычный 2 104 10 2 2" xfId="5499"/>
    <cellStyle name="Обычный 2 104 10 3" xfId="4611"/>
    <cellStyle name="Обычный 2 104 11" xfId="2825"/>
    <cellStyle name="Обычный 2 104 11 2" xfId="3771"/>
    <cellStyle name="Обычный 2 104 11 2 2" xfId="5548"/>
    <cellStyle name="Обычный 2 104 11 3" xfId="4660"/>
    <cellStyle name="Обычный 2 104 12" xfId="2895"/>
    <cellStyle name="Обычный 2 104 12 2" xfId="3820"/>
    <cellStyle name="Обычный 2 104 12 2 2" xfId="5597"/>
    <cellStyle name="Обычный 2 104 12 3" xfId="4709"/>
    <cellStyle name="Обычный 2 104 13" xfId="2963"/>
    <cellStyle name="Обычный 2 104 13 2" xfId="3869"/>
    <cellStyle name="Обычный 2 104 13 2 2" xfId="5646"/>
    <cellStyle name="Обычный 2 104 13 3" xfId="4758"/>
    <cellStyle name="Обычный 2 104 14" xfId="3025"/>
    <cellStyle name="Обычный 2 104 14 2" xfId="3918"/>
    <cellStyle name="Обычный 2 104 14 2 2" xfId="5695"/>
    <cellStyle name="Обычный 2 104 14 3" xfId="4807"/>
    <cellStyle name="Обычный 2 104 2" xfId="2097"/>
    <cellStyle name="Обычный 2 104 2 2" xfId="3304"/>
    <cellStyle name="Обычный 2 104 2 2 2" xfId="5081"/>
    <cellStyle name="Обычный 2 104 2 3" xfId="4193"/>
    <cellStyle name="Обычный 2 104 3" xfId="2184"/>
    <cellStyle name="Обычный 2 104 3 2" xfId="3357"/>
    <cellStyle name="Обычный 2 104 3 2 2" xfId="5134"/>
    <cellStyle name="Обычный 2 104 3 3" xfId="4246"/>
    <cellStyle name="Обычный 2 104 4" xfId="2270"/>
    <cellStyle name="Обычный 2 104 4 2" xfId="3410"/>
    <cellStyle name="Обычный 2 104 4 2 2" xfId="5187"/>
    <cellStyle name="Обычный 2 104 4 3" xfId="4299"/>
    <cellStyle name="Обычный 2 104 5" xfId="2354"/>
    <cellStyle name="Обычный 2 104 5 2" xfId="3463"/>
    <cellStyle name="Обычный 2 104 5 2 2" xfId="5240"/>
    <cellStyle name="Обычный 2 104 5 3" xfId="4352"/>
    <cellStyle name="Обычный 2 104 6" xfId="2438"/>
    <cellStyle name="Обычный 2 104 6 2" xfId="3516"/>
    <cellStyle name="Обычный 2 104 6 2 2" xfId="5293"/>
    <cellStyle name="Обычный 2 104 6 3" xfId="4405"/>
    <cellStyle name="Обычный 2 104 7" xfId="2521"/>
    <cellStyle name="Обычный 2 104 7 2" xfId="3569"/>
    <cellStyle name="Обычный 2 104 7 2 2" xfId="5346"/>
    <cellStyle name="Обычный 2 104 7 3" xfId="4458"/>
    <cellStyle name="Обычный 2 104 8" xfId="2602"/>
    <cellStyle name="Обычный 2 104 8 2" xfId="3621"/>
    <cellStyle name="Обычный 2 104 8 2 2" xfId="5398"/>
    <cellStyle name="Обычный 2 104 8 3" xfId="4510"/>
    <cellStyle name="Обычный 2 104 9" xfId="2680"/>
    <cellStyle name="Обычный 2 104 9 2" xfId="3672"/>
    <cellStyle name="Обычный 2 104 9 2 2" xfId="5449"/>
    <cellStyle name="Обычный 2 104 9 3" xfId="4561"/>
    <cellStyle name="Обычный 2 105" xfId="1259"/>
    <cellStyle name="Обычный 2 105 10" xfId="2760"/>
    <cellStyle name="Обычный 2 105 10 2" xfId="3726"/>
    <cellStyle name="Обычный 2 105 10 2 2" xfId="5503"/>
    <cellStyle name="Обычный 2 105 10 3" xfId="4615"/>
    <cellStyle name="Обычный 2 105 11" xfId="2830"/>
    <cellStyle name="Обычный 2 105 11 2" xfId="3775"/>
    <cellStyle name="Обычный 2 105 11 2 2" xfId="5552"/>
    <cellStyle name="Обычный 2 105 11 3" xfId="4664"/>
    <cellStyle name="Обычный 2 105 12" xfId="2900"/>
    <cellStyle name="Обычный 2 105 12 2" xfId="3824"/>
    <cellStyle name="Обычный 2 105 12 2 2" xfId="5601"/>
    <cellStyle name="Обычный 2 105 12 3" xfId="4713"/>
    <cellStyle name="Обычный 2 105 13" xfId="2968"/>
    <cellStyle name="Обычный 2 105 13 2" xfId="3873"/>
    <cellStyle name="Обычный 2 105 13 2 2" xfId="5650"/>
    <cellStyle name="Обычный 2 105 13 3" xfId="4762"/>
    <cellStyle name="Обычный 2 105 14" xfId="3030"/>
    <cellStyle name="Обычный 2 105 14 2" xfId="3922"/>
    <cellStyle name="Обычный 2 105 14 2 2" xfId="5699"/>
    <cellStyle name="Обычный 2 105 14 3" xfId="4811"/>
    <cellStyle name="Обычный 2 105 2" xfId="2102"/>
    <cellStyle name="Обычный 2 105 2 2" xfId="3308"/>
    <cellStyle name="Обычный 2 105 2 2 2" xfId="5085"/>
    <cellStyle name="Обычный 2 105 2 3" xfId="4197"/>
    <cellStyle name="Обычный 2 105 3" xfId="2189"/>
    <cellStyle name="Обычный 2 105 3 2" xfId="3361"/>
    <cellStyle name="Обычный 2 105 3 2 2" xfId="5138"/>
    <cellStyle name="Обычный 2 105 3 3" xfId="4250"/>
    <cellStyle name="Обычный 2 105 4" xfId="2275"/>
    <cellStyle name="Обычный 2 105 4 2" xfId="3414"/>
    <cellStyle name="Обычный 2 105 4 2 2" xfId="5191"/>
    <cellStyle name="Обычный 2 105 4 3" xfId="4303"/>
    <cellStyle name="Обычный 2 105 5" xfId="2359"/>
    <cellStyle name="Обычный 2 105 5 2" xfId="3467"/>
    <cellStyle name="Обычный 2 105 5 2 2" xfId="5244"/>
    <cellStyle name="Обычный 2 105 5 3" xfId="4356"/>
    <cellStyle name="Обычный 2 105 6" xfId="2443"/>
    <cellStyle name="Обычный 2 105 6 2" xfId="3520"/>
    <cellStyle name="Обычный 2 105 6 2 2" xfId="5297"/>
    <cellStyle name="Обычный 2 105 6 3" xfId="4409"/>
    <cellStyle name="Обычный 2 105 7" xfId="2526"/>
    <cellStyle name="Обычный 2 105 7 2" xfId="3573"/>
    <cellStyle name="Обычный 2 105 7 2 2" xfId="5350"/>
    <cellStyle name="Обычный 2 105 7 3" xfId="4462"/>
    <cellStyle name="Обычный 2 105 8" xfId="2607"/>
    <cellStyle name="Обычный 2 105 8 2" xfId="3625"/>
    <cellStyle name="Обычный 2 105 8 2 2" xfId="5402"/>
    <cellStyle name="Обычный 2 105 8 3" xfId="4514"/>
    <cellStyle name="Обычный 2 105 9" xfId="2685"/>
    <cellStyle name="Обычный 2 105 9 2" xfId="3676"/>
    <cellStyle name="Обычный 2 105 9 2 2" xfId="5453"/>
    <cellStyle name="Обычный 2 105 9 3" xfId="4565"/>
    <cellStyle name="Обычный 2 106" xfId="1169"/>
    <cellStyle name="Обычный 2 106 10" xfId="2764"/>
    <cellStyle name="Обычный 2 106 10 2" xfId="3730"/>
    <cellStyle name="Обычный 2 106 10 2 2" xfId="5507"/>
    <cellStyle name="Обычный 2 106 10 3" xfId="4619"/>
    <cellStyle name="Обычный 2 106 11" xfId="2834"/>
    <cellStyle name="Обычный 2 106 11 2" xfId="3779"/>
    <cellStyle name="Обычный 2 106 11 2 2" xfId="5556"/>
    <cellStyle name="Обычный 2 106 11 3" xfId="4668"/>
    <cellStyle name="Обычный 2 106 12" xfId="2904"/>
    <cellStyle name="Обычный 2 106 12 2" xfId="3828"/>
    <cellStyle name="Обычный 2 106 12 2 2" xfId="5605"/>
    <cellStyle name="Обычный 2 106 12 3" xfId="4717"/>
    <cellStyle name="Обычный 2 106 13" xfId="2972"/>
    <cellStyle name="Обычный 2 106 13 2" xfId="3877"/>
    <cellStyle name="Обычный 2 106 13 2 2" xfId="5654"/>
    <cellStyle name="Обычный 2 106 13 3" xfId="4766"/>
    <cellStyle name="Обычный 2 106 14" xfId="3034"/>
    <cellStyle name="Обычный 2 106 14 2" xfId="3926"/>
    <cellStyle name="Обычный 2 106 14 2 2" xfId="5703"/>
    <cellStyle name="Обычный 2 106 14 3" xfId="4815"/>
    <cellStyle name="Обычный 2 106 2" xfId="2106"/>
    <cellStyle name="Обычный 2 106 2 2" xfId="3312"/>
    <cellStyle name="Обычный 2 106 2 2 2" xfId="5089"/>
    <cellStyle name="Обычный 2 106 2 3" xfId="4201"/>
    <cellStyle name="Обычный 2 106 3" xfId="2193"/>
    <cellStyle name="Обычный 2 106 3 2" xfId="3365"/>
    <cellStyle name="Обычный 2 106 3 2 2" xfId="5142"/>
    <cellStyle name="Обычный 2 106 3 3" xfId="4254"/>
    <cellStyle name="Обычный 2 106 4" xfId="2279"/>
    <cellStyle name="Обычный 2 106 4 2" xfId="3418"/>
    <cellStyle name="Обычный 2 106 4 2 2" xfId="5195"/>
    <cellStyle name="Обычный 2 106 4 3" xfId="4307"/>
    <cellStyle name="Обычный 2 106 5" xfId="2363"/>
    <cellStyle name="Обычный 2 106 5 2" xfId="3471"/>
    <cellStyle name="Обычный 2 106 5 2 2" xfId="5248"/>
    <cellStyle name="Обычный 2 106 5 3" xfId="4360"/>
    <cellStyle name="Обычный 2 106 6" xfId="2447"/>
    <cellStyle name="Обычный 2 106 6 2" xfId="3524"/>
    <cellStyle name="Обычный 2 106 6 2 2" xfId="5301"/>
    <cellStyle name="Обычный 2 106 6 3" xfId="4413"/>
    <cellStyle name="Обычный 2 106 7" xfId="2530"/>
    <cellStyle name="Обычный 2 106 7 2" xfId="3577"/>
    <cellStyle name="Обычный 2 106 7 2 2" xfId="5354"/>
    <cellStyle name="Обычный 2 106 7 3" xfId="4466"/>
    <cellStyle name="Обычный 2 106 8" xfId="2611"/>
    <cellStyle name="Обычный 2 106 8 2" xfId="3629"/>
    <cellStyle name="Обычный 2 106 8 2 2" xfId="5406"/>
    <cellStyle name="Обычный 2 106 8 3" xfId="4518"/>
    <cellStyle name="Обычный 2 106 9" xfId="2689"/>
    <cellStyle name="Обычный 2 106 9 2" xfId="3680"/>
    <cellStyle name="Обычный 2 106 9 2 2" xfId="5457"/>
    <cellStyle name="Обычный 2 106 9 3" xfId="4569"/>
    <cellStyle name="Обычный 2 107" xfId="1350"/>
    <cellStyle name="Обычный 2 107 10" xfId="2768"/>
    <cellStyle name="Обычный 2 107 10 2" xfId="3734"/>
    <cellStyle name="Обычный 2 107 10 2 2" xfId="5511"/>
    <cellStyle name="Обычный 2 107 10 3" xfId="4623"/>
    <cellStyle name="Обычный 2 107 11" xfId="2838"/>
    <cellStyle name="Обычный 2 107 11 2" xfId="3783"/>
    <cellStyle name="Обычный 2 107 11 2 2" xfId="5560"/>
    <cellStyle name="Обычный 2 107 11 3" xfId="4672"/>
    <cellStyle name="Обычный 2 107 12" xfId="2908"/>
    <cellStyle name="Обычный 2 107 12 2" xfId="3832"/>
    <cellStyle name="Обычный 2 107 12 2 2" xfId="5609"/>
    <cellStyle name="Обычный 2 107 12 3" xfId="4721"/>
    <cellStyle name="Обычный 2 107 13" xfId="2976"/>
    <cellStyle name="Обычный 2 107 13 2" xfId="3881"/>
    <cellStyle name="Обычный 2 107 13 2 2" xfId="5658"/>
    <cellStyle name="Обычный 2 107 13 3" xfId="4770"/>
    <cellStyle name="Обычный 2 107 14" xfId="3038"/>
    <cellStyle name="Обычный 2 107 14 2" xfId="3930"/>
    <cellStyle name="Обычный 2 107 14 2 2" xfId="5707"/>
    <cellStyle name="Обычный 2 107 14 3" xfId="4819"/>
    <cellStyle name="Обычный 2 107 2" xfId="2110"/>
    <cellStyle name="Обычный 2 107 2 2" xfId="3316"/>
    <cellStyle name="Обычный 2 107 2 2 2" xfId="5093"/>
    <cellStyle name="Обычный 2 107 2 3" xfId="4205"/>
    <cellStyle name="Обычный 2 107 3" xfId="2197"/>
    <cellStyle name="Обычный 2 107 3 2" xfId="3369"/>
    <cellStyle name="Обычный 2 107 3 2 2" xfId="5146"/>
    <cellStyle name="Обычный 2 107 3 3" xfId="4258"/>
    <cellStyle name="Обычный 2 107 4" xfId="2283"/>
    <cellStyle name="Обычный 2 107 4 2" xfId="3422"/>
    <cellStyle name="Обычный 2 107 4 2 2" xfId="5199"/>
    <cellStyle name="Обычный 2 107 4 3" xfId="4311"/>
    <cellStyle name="Обычный 2 107 5" xfId="2367"/>
    <cellStyle name="Обычный 2 107 5 2" xfId="3475"/>
    <cellStyle name="Обычный 2 107 5 2 2" xfId="5252"/>
    <cellStyle name="Обычный 2 107 5 3" xfId="4364"/>
    <cellStyle name="Обычный 2 107 6" xfId="2451"/>
    <cellStyle name="Обычный 2 107 6 2" xfId="3528"/>
    <cellStyle name="Обычный 2 107 6 2 2" xfId="5305"/>
    <cellStyle name="Обычный 2 107 6 3" xfId="4417"/>
    <cellStyle name="Обычный 2 107 7" xfId="2534"/>
    <cellStyle name="Обычный 2 107 7 2" xfId="3581"/>
    <cellStyle name="Обычный 2 107 7 2 2" xfId="5358"/>
    <cellStyle name="Обычный 2 107 7 3" xfId="4470"/>
    <cellStyle name="Обычный 2 107 8" xfId="2615"/>
    <cellStyle name="Обычный 2 107 8 2" xfId="3633"/>
    <cellStyle name="Обычный 2 107 8 2 2" xfId="5410"/>
    <cellStyle name="Обычный 2 107 8 3" xfId="4522"/>
    <cellStyle name="Обычный 2 107 9" xfId="2693"/>
    <cellStyle name="Обычный 2 107 9 2" xfId="3684"/>
    <cellStyle name="Обычный 2 107 9 2 2" xfId="5461"/>
    <cellStyle name="Обычный 2 107 9 3" xfId="4573"/>
    <cellStyle name="Обычный 2 108" xfId="1477"/>
    <cellStyle name="Обычный 2 109" xfId="1442"/>
    <cellStyle name="Обычный 2 11" xfId="612"/>
    <cellStyle name="Обычный 2 110" xfId="1534"/>
    <cellStyle name="Обычный 2 111" xfId="1498"/>
    <cellStyle name="Обычный 2 112" xfId="1594"/>
    <cellStyle name="Обычный 2 113" xfId="1556"/>
    <cellStyle name="Обычный 2 114" xfId="1648"/>
    <cellStyle name="Обычный 2 115" xfId="1613"/>
    <cellStyle name="Обычный 2 116" xfId="1703"/>
    <cellStyle name="Обычный 2 117" xfId="1669"/>
    <cellStyle name="Обычный 2 118" xfId="1759"/>
    <cellStyle name="Обычный 2 119" xfId="1723"/>
    <cellStyle name="Обычный 2 12" xfId="613"/>
    <cellStyle name="Обычный 2 120" xfId="1176"/>
    <cellStyle name="Обычный 2 121" xfId="697"/>
    <cellStyle name="Обычный 2 122" xfId="1896"/>
    <cellStyle name="Обычный 2 123" xfId="884"/>
    <cellStyle name="Обычный 2 124" xfId="1652"/>
    <cellStyle name="Обычный 2 125" xfId="1735"/>
    <cellStyle name="Обычный 2 126" xfId="1786"/>
    <cellStyle name="Обычный 2 127" xfId="1688"/>
    <cellStyle name="Обычный 2 128" xfId="1733"/>
    <cellStyle name="Обычный 2 129" xfId="1714"/>
    <cellStyle name="Обычный 2 13" xfId="614"/>
    <cellStyle name="Обычный 2 130" xfId="1981"/>
    <cellStyle name="Обычный 2 131" xfId="1602"/>
    <cellStyle name="Обычный 2 132" xfId="1902"/>
    <cellStyle name="Обычный 2 14" xfId="615"/>
    <cellStyle name="Обычный 2 15" xfId="617"/>
    <cellStyle name="Обычный 2 16" xfId="619"/>
    <cellStyle name="Обычный 2 17" xfId="623"/>
    <cellStyle name="Обычный 2 18" xfId="683"/>
    <cellStyle name="Обычный 2 19" xfId="699"/>
    <cellStyle name="Обычный 2 2" xfId="4"/>
    <cellStyle name="Обычный 2 2 10" xfId="675"/>
    <cellStyle name="Обычный 2 2 10 2" xfId="3162"/>
    <cellStyle name="Обычный 2 2 10 2 2" xfId="4939"/>
    <cellStyle name="Обычный 2 2 10 3" xfId="4051"/>
    <cellStyle name="Обычный 2 2 11" xfId="678"/>
    <cellStyle name="Обычный 2 2 11 2" xfId="3164"/>
    <cellStyle name="Обычный 2 2 11 2 2" xfId="4941"/>
    <cellStyle name="Обычный 2 2 11 3" xfId="4053"/>
    <cellStyle name="Обычный 2 2 12" xfId="681"/>
    <cellStyle name="Обычный 2 2 12 2" xfId="3166"/>
    <cellStyle name="Обычный 2 2 12 2 2" xfId="4943"/>
    <cellStyle name="Обычный 2 2 12 3" xfId="4055"/>
    <cellStyle name="Обычный 2 2 13" xfId="624"/>
    <cellStyle name="Обычный 2 2 13 2" xfId="3143"/>
    <cellStyle name="Обычный 2 2 13 2 2" xfId="4920"/>
    <cellStyle name="Обычный 2 2 13 3" xfId="4032"/>
    <cellStyle name="Обычный 2 2 2" xfId="172"/>
    <cellStyle name="Обычный 2 2 2 10" xfId="657"/>
    <cellStyle name="Обычный 2 2 2 11" xfId="661"/>
    <cellStyle name="Обычный 2 2 2 12" xfId="665"/>
    <cellStyle name="Обычный 2 2 2 13" xfId="604"/>
    <cellStyle name="Обычный 2 2 2 2" xfId="644"/>
    <cellStyle name="Обычный 2 2 2 2 2" xfId="631"/>
    <cellStyle name="Обычный 2 2 2 2 3" xfId="3146"/>
    <cellStyle name="Обычный 2 2 2 2 3 2" xfId="4923"/>
    <cellStyle name="Обычный 2 2 2 2 4" xfId="4035"/>
    <cellStyle name="Обычный 2 2 2 3" xfId="639"/>
    <cellStyle name="Обычный 2 2 2 4" xfId="641"/>
    <cellStyle name="Обычный 2 2 2 5" xfId="648"/>
    <cellStyle name="Обычный 2 2 2 6" xfId="630"/>
    <cellStyle name="Обычный 2 2 2 7" xfId="642"/>
    <cellStyle name="Обычный 2 2 2 8" xfId="649"/>
    <cellStyle name="Обычный 2 2 2 9" xfId="653"/>
    <cellStyle name="Обычный 2 2 3" xfId="173"/>
    <cellStyle name="Обычный 2 2 3 2" xfId="650"/>
    <cellStyle name="Обычный 2 2 3 2 2" xfId="3148"/>
    <cellStyle name="Обычный 2 2 3 2 2 2" xfId="4925"/>
    <cellStyle name="Обычный 2 2 3 2 3" xfId="4037"/>
    <cellStyle name="Обычный 2 2 4" xfId="260"/>
    <cellStyle name="Обычный 2 2 4 2" xfId="426"/>
    <cellStyle name="Обычный 2 2 4 2 2" xfId="4927"/>
    <cellStyle name="Обычный 2 2 4 2 3" xfId="3150"/>
    <cellStyle name="Обычный 2 2 4 3" xfId="4039"/>
    <cellStyle name="Обычный 2 2 4 4" xfId="654"/>
    <cellStyle name="Обычный 2 2 5" xfId="658"/>
    <cellStyle name="Обычный 2 2 5 2" xfId="3152"/>
    <cellStyle name="Обычный 2 2 5 2 2" xfId="4929"/>
    <cellStyle name="Обычный 2 2 5 3" xfId="4041"/>
    <cellStyle name="Обычный 2 2 6" xfId="662"/>
    <cellStyle name="Обычный 2 2 6 2" xfId="3154"/>
    <cellStyle name="Обычный 2 2 6 2 2" xfId="4931"/>
    <cellStyle name="Обычный 2 2 6 3" xfId="4043"/>
    <cellStyle name="Обычный 2 2 7" xfId="666"/>
    <cellStyle name="Обычный 2 2 7 2" xfId="3156"/>
    <cellStyle name="Обычный 2 2 7 2 2" xfId="4933"/>
    <cellStyle name="Обычный 2 2 7 3" xfId="4045"/>
    <cellStyle name="Обычный 2 2 8" xfId="669"/>
    <cellStyle name="Обычный 2 2 8 2" xfId="3158"/>
    <cellStyle name="Обычный 2 2 8 2 2" xfId="4935"/>
    <cellStyle name="Обычный 2 2 8 3" xfId="4047"/>
    <cellStyle name="Обычный 2 2 9" xfId="672"/>
    <cellStyle name="Обычный 2 2 9 2" xfId="3160"/>
    <cellStyle name="Обычный 2 2 9 2 2" xfId="4937"/>
    <cellStyle name="Обычный 2 2 9 3" xfId="4049"/>
    <cellStyle name="Обычный 2 20" xfId="700"/>
    <cellStyle name="Обычный 2 21" xfId="701"/>
    <cellStyle name="Обычный 2 22" xfId="702"/>
    <cellStyle name="Обычный 2 23" xfId="703"/>
    <cellStyle name="Обычный 2 24" xfId="704"/>
    <cellStyle name="Обычный 2 25" xfId="705"/>
    <cellStyle name="Обычный 2 26" xfId="706"/>
    <cellStyle name="Обычный 2 27" xfId="707"/>
    <cellStyle name="Обычный 2 28" xfId="708"/>
    <cellStyle name="Обычный 2 29" xfId="709"/>
    <cellStyle name="Обычный 2 3" xfId="174"/>
    <cellStyle name="Обычный 2 3 2" xfId="261"/>
    <cellStyle name="Обычный 2 30" xfId="710"/>
    <cellStyle name="Обычный 2 31" xfId="711"/>
    <cellStyle name="Обычный 2 32" xfId="712"/>
    <cellStyle name="Обычный 2 33" xfId="713"/>
    <cellStyle name="Обычный 2 34" xfId="714"/>
    <cellStyle name="Обычный 2 35" xfId="716"/>
    <cellStyle name="Обычный 2 36" xfId="720"/>
    <cellStyle name="Обычный 2 37" xfId="725"/>
    <cellStyle name="Обычный 2 38" xfId="731"/>
    <cellStyle name="Обычный 2 39" xfId="737"/>
    <cellStyle name="Обычный 2 4" xfId="605"/>
    <cellStyle name="Обычный 2 40" xfId="743"/>
    <cellStyle name="Обычный 2 41" xfId="749"/>
    <cellStyle name="Обычный 2 42" xfId="755"/>
    <cellStyle name="Обычный 2 43" xfId="761"/>
    <cellStyle name="Обычный 2 44" xfId="767"/>
    <cellStyle name="Обычный 2 45" xfId="773"/>
    <cellStyle name="Обычный 2 46" xfId="779"/>
    <cellStyle name="Обычный 2 47" xfId="785"/>
    <cellStyle name="Обычный 2 48" xfId="791"/>
    <cellStyle name="Обычный 2 49" xfId="794"/>
    <cellStyle name="Обычный 2 5" xfId="606"/>
    <cellStyle name="Обычный 2 50" xfId="799"/>
    <cellStyle name="Обычный 2 51" xfId="801"/>
    <cellStyle name="Обычный 2 52" xfId="805"/>
    <cellStyle name="Обычный 2 53" xfId="804"/>
    <cellStyle name="Обычный 2 54" xfId="811"/>
    <cellStyle name="Обычный 2 55" xfId="810"/>
    <cellStyle name="Обычный 2 56" xfId="814"/>
    <cellStyle name="Обычный 2 57" xfId="817"/>
    <cellStyle name="Обычный 2 58" xfId="820"/>
    <cellStyle name="Обычный 2 59" xfId="823"/>
    <cellStyle name="Обычный 2 6" xfId="607"/>
    <cellStyle name="Обычный 2 60" xfId="829"/>
    <cellStyle name="Обычный 2 61" xfId="832"/>
    <cellStyle name="Обычный 2 62" xfId="835"/>
    <cellStyle name="Обычный 2 63" xfId="837"/>
    <cellStyle name="Обычный 2 64" xfId="840"/>
    <cellStyle name="Обычный 2 65" xfId="842"/>
    <cellStyle name="Обычный 2 66" xfId="849"/>
    <cellStyle name="Обычный 2 67" xfId="850"/>
    <cellStyle name="Обычный 2 68" xfId="851"/>
    <cellStyle name="Обычный 2 69" xfId="855"/>
    <cellStyle name="Обычный 2 7" xfId="608"/>
    <cellStyle name="Обычный 2 70" xfId="863"/>
    <cellStyle name="Обычный 2 71" xfId="852"/>
    <cellStyle name="Обычный 2 72" xfId="854"/>
    <cellStyle name="Обычный 2 73" xfId="853"/>
    <cellStyle name="Обычный 2 74" xfId="864"/>
    <cellStyle name="Обычный 2 75" xfId="857"/>
    <cellStyle name="Обычный 2 76" xfId="860"/>
    <cellStyle name="Обычный 2 77" xfId="858"/>
    <cellStyle name="Обычный 2 78" xfId="861"/>
    <cellStyle name="Обычный 2 79" xfId="859"/>
    <cellStyle name="Обычный 2 8" xfId="609"/>
    <cellStyle name="Обычный 2 80" xfId="862"/>
    <cellStyle name="Обычный 2 81" xfId="856"/>
    <cellStyle name="Обычный 2 82" xfId="869"/>
    <cellStyle name="Обычный 2 82 2" xfId="3169"/>
    <cellStyle name="Обычный 2 82 2 2" xfId="4946"/>
    <cellStyle name="Обычный 2 82 3" xfId="4058"/>
    <cellStyle name="Обычный 2 83" xfId="922"/>
    <cellStyle name="Обычный 2 83 2" xfId="3174"/>
    <cellStyle name="Обычный 2 83 2 2" xfId="4951"/>
    <cellStyle name="Обычный 2 83 3" xfId="4063"/>
    <cellStyle name="Обычный 2 84" xfId="947"/>
    <cellStyle name="Обычный 2 84 2" xfId="3179"/>
    <cellStyle name="Обычный 2 84 2 2" xfId="4956"/>
    <cellStyle name="Обычный 2 84 3" xfId="4068"/>
    <cellStyle name="Обычный 2 85" xfId="964"/>
    <cellStyle name="Обычный 2 85 2" xfId="3183"/>
    <cellStyle name="Обычный 2 85 2 2" xfId="4960"/>
    <cellStyle name="Обычный 2 85 3" xfId="4072"/>
    <cellStyle name="Обычный 2 86" xfId="981"/>
    <cellStyle name="Обычный 2 86 2" xfId="3187"/>
    <cellStyle name="Обычный 2 86 2 2" xfId="4964"/>
    <cellStyle name="Обычный 2 86 3" xfId="4076"/>
    <cellStyle name="Обычный 2 87" xfId="998"/>
    <cellStyle name="Обычный 2 87 2" xfId="3191"/>
    <cellStyle name="Обычный 2 87 2 2" xfId="4968"/>
    <cellStyle name="Обычный 2 87 3" xfId="4080"/>
    <cellStyle name="Обычный 2 88" xfId="1014"/>
    <cellStyle name="Обычный 2 88 2" xfId="3195"/>
    <cellStyle name="Обычный 2 88 2 2" xfId="4972"/>
    <cellStyle name="Обычный 2 88 3" xfId="4084"/>
    <cellStyle name="Обычный 2 89" xfId="1030"/>
    <cellStyle name="Обычный 2 89 2" xfId="3199"/>
    <cellStyle name="Обычный 2 89 2 2" xfId="4976"/>
    <cellStyle name="Обычный 2 89 3" xfId="4088"/>
    <cellStyle name="Обычный 2 9" xfId="610"/>
    <cellStyle name="Обычный 2 90" xfId="1046"/>
    <cellStyle name="Обычный 2 90 2" xfId="3203"/>
    <cellStyle name="Обычный 2 90 2 2" xfId="4980"/>
    <cellStyle name="Обычный 2 90 3" xfId="4092"/>
    <cellStyle name="Обычный 2 91" xfId="1062"/>
    <cellStyle name="Обычный 2 91 2" xfId="3207"/>
    <cellStyle name="Обычный 2 91 2 2" xfId="4984"/>
    <cellStyle name="Обычный 2 91 3" xfId="4096"/>
    <cellStyle name="Обычный 2 92" xfId="1076"/>
    <cellStyle name="Обычный 2 92 2" xfId="3211"/>
    <cellStyle name="Обычный 2 92 2 2" xfId="4988"/>
    <cellStyle name="Обычный 2 92 3" xfId="4100"/>
    <cellStyle name="Обычный 2 93" xfId="1090"/>
    <cellStyle name="Обычный 2 93 2" xfId="3215"/>
    <cellStyle name="Обычный 2 93 2 2" xfId="4992"/>
    <cellStyle name="Обычный 2 93 3" xfId="4104"/>
    <cellStyle name="Обычный 2 94" xfId="1104"/>
    <cellStyle name="Обычный 2 94 2" xfId="3219"/>
    <cellStyle name="Обычный 2 94 2 2" xfId="4996"/>
    <cellStyle name="Обычный 2 94 3" xfId="4108"/>
    <cellStyle name="Обычный 2 95" xfId="897"/>
    <cellStyle name="Обычный 2 95 10" xfId="2382"/>
    <cellStyle name="Обычный 2 95 10 2" xfId="3480"/>
    <cellStyle name="Обычный 2 95 10 2 2" xfId="5257"/>
    <cellStyle name="Обычный 2 95 10 3" xfId="4369"/>
    <cellStyle name="Обычный 2 95 11" xfId="2465"/>
    <cellStyle name="Обычный 2 95 11 2" xfId="3533"/>
    <cellStyle name="Обычный 2 95 11 2 2" xfId="5310"/>
    <cellStyle name="Обычный 2 95 11 3" xfId="4422"/>
    <cellStyle name="Обычный 2 95 12" xfId="2546"/>
    <cellStyle name="Обычный 2 95 12 2" xfId="3585"/>
    <cellStyle name="Обычный 2 95 12 2 2" xfId="5362"/>
    <cellStyle name="Обычный 2 95 12 3" xfId="4474"/>
    <cellStyle name="Обычный 2 95 13" xfId="2626"/>
    <cellStyle name="Обычный 2 95 13 2" xfId="3637"/>
    <cellStyle name="Обычный 2 95 13 2 2" xfId="5414"/>
    <cellStyle name="Обычный 2 95 13 3" xfId="4526"/>
    <cellStyle name="Обычный 2 95 14" xfId="2703"/>
    <cellStyle name="Обычный 2 95 14 2" xfId="3687"/>
    <cellStyle name="Обычный 2 95 14 2 2" xfId="5464"/>
    <cellStyle name="Обычный 2 95 14 3" xfId="4576"/>
    <cellStyle name="Обычный 2 95 2" xfId="1481"/>
    <cellStyle name="Обычный 2 95 2 2" xfId="3229"/>
    <cellStyle name="Обычный 2 95 2 2 2" xfId="5006"/>
    <cellStyle name="Обычный 2 95 2 3" xfId="4118"/>
    <cellStyle name="Обычный 2 95 3" xfId="2022"/>
    <cellStyle name="Обычный 2 95 3 2" xfId="3265"/>
    <cellStyle name="Обычный 2 95 3 2 2" xfId="5042"/>
    <cellStyle name="Обычный 2 95 3 3" xfId="4154"/>
    <cellStyle name="Обычный 2 95 4" xfId="2005"/>
    <cellStyle name="Обычный 2 95 4 2" xfId="3263"/>
    <cellStyle name="Обычный 2 95 4 2 2" xfId="5040"/>
    <cellStyle name="Обычный 2 95 4 3" xfId="4152"/>
    <cellStyle name="Обычный 2 95 5" xfId="1997"/>
    <cellStyle name="Обычный 2 95 5 2" xfId="3261"/>
    <cellStyle name="Обычный 2 95 5 2 2" xfId="5038"/>
    <cellStyle name="Обычный 2 95 5 3" xfId="4150"/>
    <cellStyle name="Обычный 2 95 6" xfId="2041"/>
    <cellStyle name="Обычный 2 95 6 2" xfId="3268"/>
    <cellStyle name="Обычный 2 95 6 2 2" xfId="5045"/>
    <cellStyle name="Обычный 2 95 6 3" xfId="4157"/>
    <cellStyle name="Обычный 2 95 7" xfId="2128"/>
    <cellStyle name="Обычный 2 95 7 2" xfId="3321"/>
    <cellStyle name="Обычный 2 95 7 2 2" xfId="5098"/>
    <cellStyle name="Обычный 2 95 7 3" xfId="4210"/>
    <cellStyle name="Обычный 2 95 8" xfId="2214"/>
    <cellStyle name="Обычный 2 95 8 2" xfId="3374"/>
    <cellStyle name="Обычный 2 95 8 2 2" xfId="5151"/>
    <cellStyle name="Обычный 2 95 8 3" xfId="4263"/>
    <cellStyle name="Обычный 2 95 9" xfId="2298"/>
    <cellStyle name="Обычный 2 95 9 2" xfId="3427"/>
    <cellStyle name="Обычный 2 95 9 2 2" xfId="5204"/>
    <cellStyle name="Обычный 2 95 9 3" xfId="4316"/>
    <cellStyle name="Обычный 2 96" xfId="1130"/>
    <cellStyle name="Обычный 2 96 10" xfId="2715"/>
    <cellStyle name="Обычный 2 96 10 2" xfId="3690"/>
    <cellStyle name="Обычный 2 96 10 2 2" xfId="5467"/>
    <cellStyle name="Обычный 2 96 10 3" xfId="4579"/>
    <cellStyle name="Обычный 2 96 11" xfId="2785"/>
    <cellStyle name="Обычный 2 96 11 2" xfId="3739"/>
    <cellStyle name="Обычный 2 96 11 2 2" xfId="5516"/>
    <cellStyle name="Обычный 2 96 11 3" xfId="4628"/>
    <cellStyle name="Обычный 2 96 12" xfId="2855"/>
    <cellStyle name="Обычный 2 96 12 2" xfId="3788"/>
    <cellStyle name="Обычный 2 96 12 2 2" xfId="5565"/>
    <cellStyle name="Обычный 2 96 12 3" xfId="4677"/>
    <cellStyle name="Обычный 2 96 13" xfId="2923"/>
    <cellStyle name="Обычный 2 96 13 2" xfId="3837"/>
    <cellStyle name="Обычный 2 96 13 2 2" xfId="5614"/>
    <cellStyle name="Обычный 2 96 13 3" xfId="4726"/>
    <cellStyle name="Обычный 2 96 14" xfId="2985"/>
    <cellStyle name="Обычный 2 96 14 2" xfId="3886"/>
    <cellStyle name="Обычный 2 96 14 2 2" xfId="5663"/>
    <cellStyle name="Обычный 2 96 14 3" xfId="4775"/>
    <cellStyle name="Обычный 2 96 2" xfId="2057"/>
    <cellStyle name="Обычный 2 96 2 2" xfId="3272"/>
    <cellStyle name="Обычный 2 96 2 2 2" xfId="5049"/>
    <cellStyle name="Обычный 2 96 2 3" xfId="4161"/>
    <cellStyle name="Обычный 2 96 3" xfId="2144"/>
    <cellStyle name="Обычный 2 96 3 2" xfId="3325"/>
    <cellStyle name="Обычный 2 96 3 2 2" xfId="5102"/>
    <cellStyle name="Обычный 2 96 3 3" xfId="4214"/>
    <cellStyle name="Обычный 2 96 4" xfId="2230"/>
    <cellStyle name="Обычный 2 96 4 2" xfId="3378"/>
    <cellStyle name="Обычный 2 96 4 2 2" xfId="5155"/>
    <cellStyle name="Обычный 2 96 4 3" xfId="4267"/>
    <cellStyle name="Обычный 2 96 5" xfId="2314"/>
    <cellStyle name="Обычный 2 96 5 2" xfId="3431"/>
    <cellStyle name="Обычный 2 96 5 2 2" xfId="5208"/>
    <cellStyle name="Обычный 2 96 5 3" xfId="4320"/>
    <cellStyle name="Обычный 2 96 6" xfId="2398"/>
    <cellStyle name="Обычный 2 96 6 2" xfId="3484"/>
    <cellStyle name="Обычный 2 96 6 2 2" xfId="5261"/>
    <cellStyle name="Обычный 2 96 6 3" xfId="4373"/>
    <cellStyle name="Обычный 2 96 7" xfId="2481"/>
    <cellStyle name="Обычный 2 96 7 2" xfId="3537"/>
    <cellStyle name="Обычный 2 96 7 2 2" xfId="5314"/>
    <cellStyle name="Обычный 2 96 7 3" xfId="4426"/>
    <cellStyle name="Обычный 2 96 8" xfId="2562"/>
    <cellStyle name="Обычный 2 96 8 2" xfId="3589"/>
    <cellStyle name="Обычный 2 96 8 2 2" xfId="5366"/>
    <cellStyle name="Обычный 2 96 8 3" xfId="4478"/>
    <cellStyle name="Обычный 2 96 9" xfId="2640"/>
    <cellStyle name="Обычный 2 96 9 2" xfId="3640"/>
    <cellStyle name="Обычный 2 96 9 2 2" xfId="5417"/>
    <cellStyle name="Обычный 2 96 9 3" xfId="4529"/>
    <cellStyle name="Обычный 2 97" xfId="1395"/>
    <cellStyle name="Обычный 2 97 10" xfId="2720"/>
    <cellStyle name="Обычный 2 97 10 2" xfId="3694"/>
    <cellStyle name="Обычный 2 97 10 2 2" xfId="5471"/>
    <cellStyle name="Обычный 2 97 10 3" xfId="4583"/>
    <cellStyle name="Обычный 2 97 11" xfId="2790"/>
    <cellStyle name="Обычный 2 97 11 2" xfId="3743"/>
    <cellStyle name="Обычный 2 97 11 2 2" xfId="5520"/>
    <cellStyle name="Обычный 2 97 11 3" xfId="4632"/>
    <cellStyle name="Обычный 2 97 12" xfId="2860"/>
    <cellStyle name="Обычный 2 97 12 2" xfId="3792"/>
    <cellStyle name="Обычный 2 97 12 2 2" xfId="5569"/>
    <cellStyle name="Обычный 2 97 12 3" xfId="4681"/>
    <cellStyle name="Обычный 2 97 13" xfId="2928"/>
    <cellStyle name="Обычный 2 97 13 2" xfId="3841"/>
    <cellStyle name="Обычный 2 97 13 2 2" xfId="5618"/>
    <cellStyle name="Обычный 2 97 13 3" xfId="4730"/>
    <cellStyle name="Обычный 2 97 14" xfId="2990"/>
    <cellStyle name="Обычный 2 97 14 2" xfId="3890"/>
    <cellStyle name="Обычный 2 97 14 2 2" xfId="5667"/>
    <cellStyle name="Обычный 2 97 14 3" xfId="4779"/>
    <cellStyle name="Обычный 2 97 2" xfId="2062"/>
    <cellStyle name="Обычный 2 97 2 2" xfId="3276"/>
    <cellStyle name="Обычный 2 97 2 2 2" xfId="5053"/>
    <cellStyle name="Обычный 2 97 2 3" xfId="4165"/>
    <cellStyle name="Обычный 2 97 3" xfId="2149"/>
    <cellStyle name="Обычный 2 97 3 2" xfId="3329"/>
    <cellStyle name="Обычный 2 97 3 2 2" xfId="5106"/>
    <cellStyle name="Обычный 2 97 3 3" xfId="4218"/>
    <cellStyle name="Обычный 2 97 4" xfId="2235"/>
    <cellStyle name="Обычный 2 97 4 2" xfId="3382"/>
    <cellStyle name="Обычный 2 97 4 2 2" xfId="5159"/>
    <cellStyle name="Обычный 2 97 4 3" xfId="4271"/>
    <cellStyle name="Обычный 2 97 5" xfId="2319"/>
    <cellStyle name="Обычный 2 97 5 2" xfId="3435"/>
    <cellStyle name="Обычный 2 97 5 2 2" xfId="5212"/>
    <cellStyle name="Обычный 2 97 5 3" xfId="4324"/>
    <cellStyle name="Обычный 2 97 6" xfId="2403"/>
    <cellStyle name="Обычный 2 97 6 2" xfId="3488"/>
    <cellStyle name="Обычный 2 97 6 2 2" xfId="5265"/>
    <cellStyle name="Обычный 2 97 6 3" xfId="4377"/>
    <cellStyle name="Обычный 2 97 7" xfId="2486"/>
    <cellStyle name="Обычный 2 97 7 2" xfId="3541"/>
    <cellStyle name="Обычный 2 97 7 2 2" xfId="5318"/>
    <cellStyle name="Обычный 2 97 7 3" xfId="4430"/>
    <cellStyle name="Обычный 2 97 8" xfId="2567"/>
    <cellStyle name="Обычный 2 97 8 2" xfId="3593"/>
    <cellStyle name="Обычный 2 97 8 2 2" xfId="5370"/>
    <cellStyle name="Обычный 2 97 8 3" xfId="4482"/>
    <cellStyle name="Обычный 2 97 9" xfId="2645"/>
    <cellStyle name="Обычный 2 97 9 2" xfId="3644"/>
    <cellStyle name="Обычный 2 97 9 2 2" xfId="5421"/>
    <cellStyle name="Обычный 2 97 9 3" xfId="4533"/>
    <cellStyle name="Обычный 2 98" xfId="1147"/>
    <cellStyle name="Обычный 2 98 10" xfId="2725"/>
    <cellStyle name="Обычный 2 98 10 2" xfId="3698"/>
    <cellStyle name="Обычный 2 98 10 2 2" xfId="5475"/>
    <cellStyle name="Обычный 2 98 10 3" xfId="4587"/>
    <cellStyle name="Обычный 2 98 11" xfId="2795"/>
    <cellStyle name="Обычный 2 98 11 2" xfId="3747"/>
    <cellStyle name="Обычный 2 98 11 2 2" xfId="5524"/>
    <cellStyle name="Обычный 2 98 11 3" xfId="4636"/>
    <cellStyle name="Обычный 2 98 12" xfId="2865"/>
    <cellStyle name="Обычный 2 98 12 2" xfId="3796"/>
    <cellStyle name="Обычный 2 98 12 2 2" xfId="5573"/>
    <cellStyle name="Обычный 2 98 12 3" xfId="4685"/>
    <cellStyle name="Обычный 2 98 13" xfId="2933"/>
    <cellStyle name="Обычный 2 98 13 2" xfId="3845"/>
    <cellStyle name="Обычный 2 98 13 2 2" xfId="5622"/>
    <cellStyle name="Обычный 2 98 13 3" xfId="4734"/>
    <cellStyle name="Обычный 2 98 14" xfId="2995"/>
    <cellStyle name="Обычный 2 98 14 2" xfId="3894"/>
    <cellStyle name="Обычный 2 98 14 2 2" xfId="5671"/>
    <cellStyle name="Обычный 2 98 14 3" xfId="4783"/>
    <cellStyle name="Обычный 2 98 2" xfId="2067"/>
    <cellStyle name="Обычный 2 98 2 2" xfId="3280"/>
    <cellStyle name="Обычный 2 98 2 2 2" xfId="5057"/>
    <cellStyle name="Обычный 2 98 2 3" xfId="4169"/>
    <cellStyle name="Обычный 2 98 3" xfId="2154"/>
    <cellStyle name="Обычный 2 98 3 2" xfId="3333"/>
    <cellStyle name="Обычный 2 98 3 2 2" xfId="5110"/>
    <cellStyle name="Обычный 2 98 3 3" xfId="4222"/>
    <cellStyle name="Обычный 2 98 4" xfId="2240"/>
    <cellStyle name="Обычный 2 98 4 2" xfId="3386"/>
    <cellStyle name="Обычный 2 98 4 2 2" xfId="5163"/>
    <cellStyle name="Обычный 2 98 4 3" xfId="4275"/>
    <cellStyle name="Обычный 2 98 5" xfId="2324"/>
    <cellStyle name="Обычный 2 98 5 2" xfId="3439"/>
    <cellStyle name="Обычный 2 98 5 2 2" xfId="5216"/>
    <cellStyle name="Обычный 2 98 5 3" xfId="4328"/>
    <cellStyle name="Обычный 2 98 6" xfId="2408"/>
    <cellStyle name="Обычный 2 98 6 2" xfId="3492"/>
    <cellStyle name="Обычный 2 98 6 2 2" xfId="5269"/>
    <cellStyle name="Обычный 2 98 6 3" xfId="4381"/>
    <cellStyle name="Обычный 2 98 7" xfId="2491"/>
    <cellStyle name="Обычный 2 98 7 2" xfId="3545"/>
    <cellStyle name="Обычный 2 98 7 2 2" xfId="5322"/>
    <cellStyle name="Обычный 2 98 7 3" xfId="4434"/>
    <cellStyle name="Обычный 2 98 8" xfId="2572"/>
    <cellStyle name="Обычный 2 98 8 2" xfId="3597"/>
    <cellStyle name="Обычный 2 98 8 2 2" xfId="5374"/>
    <cellStyle name="Обычный 2 98 8 3" xfId="4486"/>
    <cellStyle name="Обычный 2 98 9" xfId="2650"/>
    <cellStyle name="Обычный 2 98 9 2" xfId="3648"/>
    <cellStyle name="Обычный 2 98 9 2 2" xfId="5425"/>
    <cellStyle name="Обычный 2 98 9 3" xfId="4537"/>
    <cellStyle name="Обычный 2 99" xfId="1224"/>
    <cellStyle name="Обычный 2 99 10" xfId="2730"/>
    <cellStyle name="Обычный 2 99 10 2" xfId="3702"/>
    <cellStyle name="Обычный 2 99 10 2 2" xfId="5479"/>
    <cellStyle name="Обычный 2 99 10 3" xfId="4591"/>
    <cellStyle name="Обычный 2 99 11" xfId="2800"/>
    <cellStyle name="Обычный 2 99 11 2" xfId="3751"/>
    <cellStyle name="Обычный 2 99 11 2 2" xfId="5528"/>
    <cellStyle name="Обычный 2 99 11 3" xfId="4640"/>
    <cellStyle name="Обычный 2 99 12" xfId="2870"/>
    <cellStyle name="Обычный 2 99 12 2" xfId="3800"/>
    <cellStyle name="Обычный 2 99 12 2 2" xfId="5577"/>
    <cellStyle name="Обычный 2 99 12 3" xfId="4689"/>
    <cellStyle name="Обычный 2 99 13" xfId="2938"/>
    <cellStyle name="Обычный 2 99 13 2" xfId="3849"/>
    <cellStyle name="Обычный 2 99 13 2 2" xfId="5626"/>
    <cellStyle name="Обычный 2 99 13 3" xfId="4738"/>
    <cellStyle name="Обычный 2 99 14" xfId="3000"/>
    <cellStyle name="Обычный 2 99 14 2" xfId="3898"/>
    <cellStyle name="Обычный 2 99 14 2 2" xfId="5675"/>
    <cellStyle name="Обычный 2 99 14 3" xfId="4787"/>
    <cellStyle name="Обычный 2 99 2" xfId="2072"/>
    <cellStyle name="Обычный 2 99 2 2" xfId="3284"/>
    <cellStyle name="Обычный 2 99 2 2 2" xfId="5061"/>
    <cellStyle name="Обычный 2 99 2 3" xfId="4173"/>
    <cellStyle name="Обычный 2 99 3" xfId="2159"/>
    <cellStyle name="Обычный 2 99 3 2" xfId="3337"/>
    <cellStyle name="Обычный 2 99 3 2 2" xfId="5114"/>
    <cellStyle name="Обычный 2 99 3 3" xfId="4226"/>
    <cellStyle name="Обычный 2 99 4" xfId="2245"/>
    <cellStyle name="Обычный 2 99 4 2" xfId="3390"/>
    <cellStyle name="Обычный 2 99 4 2 2" xfId="5167"/>
    <cellStyle name="Обычный 2 99 4 3" xfId="4279"/>
    <cellStyle name="Обычный 2 99 5" xfId="2329"/>
    <cellStyle name="Обычный 2 99 5 2" xfId="3443"/>
    <cellStyle name="Обычный 2 99 5 2 2" xfId="5220"/>
    <cellStyle name="Обычный 2 99 5 3" xfId="4332"/>
    <cellStyle name="Обычный 2 99 6" xfId="2413"/>
    <cellStyle name="Обычный 2 99 6 2" xfId="3496"/>
    <cellStyle name="Обычный 2 99 6 2 2" xfId="5273"/>
    <cellStyle name="Обычный 2 99 6 3" xfId="4385"/>
    <cellStyle name="Обычный 2 99 7" xfId="2496"/>
    <cellStyle name="Обычный 2 99 7 2" xfId="3549"/>
    <cellStyle name="Обычный 2 99 7 2 2" xfId="5326"/>
    <cellStyle name="Обычный 2 99 7 3" xfId="4438"/>
    <cellStyle name="Обычный 2 99 8" xfId="2577"/>
    <cellStyle name="Обычный 2 99 8 2" xfId="3601"/>
    <cellStyle name="Обычный 2 99 8 2 2" xfId="5378"/>
    <cellStyle name="Обычный 2 99 8 3" xfId="4490"/>
    <cellStyle name="Обычный 2 99 9" xfId="2655"/>
    <cellStyle name="Обычный 2 99 9 2" xfId="3652"/>
    <cellStyle name="Обычный 2 99 9 2 2" xfId="5429"/>
    <cellStyle name="Обычный 2 99 9 3" xfId="4541"/>
    <cellStyle name="Обычный 2_Lessar_home_gross_16 02 09 (3)" xfId="262"/>
    <cellStyle name="Обычный 20" xfId="833"/>
    <cellStyle name="Обычный 21" xfId="836"/>
    <cellStyle name="Обычный 22" xfId="838"/>
    <cellStyle name="Обычный 23" xfId="175"/>
    <cellStyle name="Обычный 23 2" xfId="233"/>
    <cellStyle name="Обычный 23 2 2" xfId="375"/>
    <cellStyle name="Обычный 23 2 2 2" xfId="509"/>
    <cellStyle name="Обычный 23 2 2 2 2" xfId="4895"/>
    <cellStyle name="Обычный 23 2 2 2 3" xfId="3117"/>
    <cellStyle name="Обычный 23 2 2 3" xfId="4007"/>
    <cellStyle name="Обычный 23 2 2 4" xfId="582"/>
    <cellStyle name="Обычный 23 2 3" xfId="335"/>
    <cellStyle name="Обычный 23 2 3 2" xfId="471"/>
    <cellStyle name="Обычный 23 2 3 2 2" xfId="4859"/>
    <cellStyle name="Обычный 23 2 3 3" xfId="3080"/>
    <cellStyle name="Обычный 23 2 4" xfId="417"/>
    <cellStyle name="Обычный 23 2 4 2" xfId="3971"/>
    <cellStyle name="Обычный 23 2 5" xfId="546"/>
    <cellStyle name="Обычный 23 3" xfId="356"/>
    <cellStyle name="Обычный 23 3 2" xfId="491"/>
    <cellStyle name="Обычный 23 3 2 2" xfId="4878"/>
    <cellStyle name="Обычный 23 3 2 3" xfId="3099"/>
    <cellStyle name="Обычный 23 3 3" xfId="3990"/>
    <cellStyle name="Обычный 23 3 4" xfId="565"/>
    <cellStyle name="Обычный 23 4" xfId="316"/>
    <cellStyle name="Обычный 23 4 2" xfId="452"/>
    <cellStyle name="Обычный 23 4 3" xfId="839"/>
    <cellStyle name="Обычный 23 5" xfId="400"/>
    <cellStyle name="Обычный 23 5 2" xfId="4842"/>
    <cellStyle name="Обычный 23 5 3" xfId="3062"/>
    <cellStyle name="Обычный 23 6" xfId="3954"/>
    <cellStyle name="Обычный 23 7" xfId="529"/>
    <cellStyle name="Обычный 24" xfId="1"/>
    <cellStyle name="Обычный 24 2" xfId="176"/>
    <cellStyle name="Обычный 24 3" xfId="847"/>
    <cellStyle name="Обычный 25" xfId="177"/>
    <cellStyle name="Обычный 25 10" xfId="1034"/>
    <cellStyle name="Обычный 25 10 2" xfId="3200"/>
    <cellStyle name="Обычный 25 10 2 2" xfId="4977"/>
    <cellStyle name="Обычный 25 10 3" xfId="4089"/>
    <cellStyle name="Обычный 25 11" xfId="1050"/>
    <cellStyle name="Обычный 25 11 2" xfId="3204"/>
    <cellStyle name="Обычный 25 11 2 2" xfId="4981"/>
    <cellStyle name="Обычный 25 11 3" xfId="4093"/>
    <cellStyle name="Обычный 25 12" xfId="1065"/>
    <cellStyle name="Обычный 25 12 2" xfId="3208"/>
    <cellStyle name="Обычный 25 12 2 2" xfId="4985"/>
    <cellStyle name="Обычный 25 12 3" xfId="4097"/>
    <cellStyle name="Обычный 25 13" xfId="1079"/>
    <cellStyle name="Обычный 25 13 2" xfId="3212"/>
    <cellStyle name="Обычный 25 13 2 2" xfId="4989"/>
    <cellStyle name="Обычный 25 13 3" xfId="4101"/>
    <cellStyle name="Обычный 25 14" xfId="1093"/>
    <cellStyle name="Обычный 25 14 2" xfId="3216"/>
    <cellStyle name="Обычный 25 14 2 2" xfId="4993"/>
    <cellStyle name="Обычный 25 14 3" xfId="4105"/>
    <cellStyle name="Обычный 25 15" xfId="1193"/>
    <cellStyle name="Обычный 25 15 10" xfId="2707"/>
    <cellStyle name="Обычный 25 15 10 2" xfId="3688"/>
    <cellStyle name="Обычный 25 15 10 2 2" xfId="5465"/>
    <cellStyle name="Обычный 25 15 10 3" xfId="4577"/>
    <cellStyle name="Обычный 25 15 11" xfId="2779"/>
    <cellStyle name="Обычный 25 15 11 2" xfId="3737"/>
    <cellStyle name="Обычный 25 15 11 2 2" xfId="5514"/>
    <cellStyle name="Обычный 25 15 11 3" xfId="4626"/>
    <cellStyle name="Обычный 25 15 12" xfId="2849"/>
    <cellStyle name="Обычный 25 15 12 2" xfId="3786"/>
    <cellStyle name="Обычный 25 15 12 2 2" xfId="5563"/>
    <cellStyle name="Обычный 25 15 12 3" xfId="4675"/>
    <cellStyle name="Обычный 25 15 13" xfId="2917"/>
    <cellStyle name="Обычный 25 15 13 2" xfId="3835"/>
    <cellStyle name="Обычный 25 15 13 2 2" xfId="5612"/>
    <cellStyle name="Обычный 25 15 13 3" xfId="4724"/>
    <cellStyle name="Обычный 25 15 14" xfId="2980"/>
    <cellStyle name="Обычный 25 15 14 2" xfId="3884"/>
    <cellStyle name="Обычный 25 15 14 2 2" xfId="5661"/>
    <cellStyle name="Обычный 25 15 14 3" xfId="4773"/>
    <cellStyle name="Обычный 25 15 2" xfId="2049"/>
    <cellStyle name="Обычный 25 15 2 2" xfId="3270"/>
    <cellStyle name="Обычный 25 15 2 2 2" xfId="5047"/>
    <cellStyle name="Обычный 25 15 2 3" xfId="4159"/>
    <cellStyle name="Обычный 25 15 3" xfId="2136"/>
    <cellStyle name="Обычный 25 15 3 2" xfId="3323"/>
    <cellStyle name="Обычный 25 15 3 2 2" xfId="5100"/>
    <cellStyle name="Обычный 25 15 3 3" xfId="4212"/>
    <cellStyle name="Обычный 25 15 4" xfId="2222"/>
    <cellStyle name="Обычный 25 15 4 2" xfId="3376"/>
    <cellStyle name="Обычный 25 15 4 2 2" xfId="5153"/>
    <cellStyle name="Обычный 25 15 4 3" xfId="4265"/>
    <cellStyle name="Обычный 25 15 5" xfId="2306"/>
    <cellStyle name="Обычный 25 15 5 2" xfId="3429"/>
    <cellStyle name="Обычный 25 15 5 2 2" xfId="5206"/>
    <cellStyle name="Обычный 25 15 5 3" xfId="4318"/>
    <cellStyle name="Обычный 25 15 6" xfId="2390"/>
    <cellStyle name="Обычный 25 15 6 2" xfId="3482"/>
    <cellStyle name="Обычный 25 15 6 2 2" xfId="5259"/>
    <cellStyle name="Обычный 25 15 6 3" xfId="4371"/>
    <cellStyle name="Обычный 25 15 7" xfId="2473"/>
    <cellStyle name="Обычный 25 15 7 2" xfId="3535"/>
    <cellStyle name="Обычный 25 15 7 2 2" xfId="5312"/>
    <cellStyle name="Обычный 25 15 7 3" xfId="4424"/>
    <cellStyle name="Обычный 25 15 8" xfId="2554"/>
    <cellStyle name="Обычный 25 15 8 2" xfId="3587"/>
    <cellStyle name="Обычный 25 15 8 2 2" xfId="5364"/>
    <cellStyle name="Обычный 25 15 8 3" xfId="4476"/>
    <cellStyle name="Обычный 25 15 9" xfId="2632"/>
    <cellStyle name="Обычный 25 15 9 2" xfId="3638"/>
    <cellStyle name="Обычный 25 15 9 2 2" xfId="5415"/>
    <cellStyle name="Обычный 25 15 9 3" xfId="4527"/>
    <cellStyle name="Обычный 25 16" xfId="1347"/>
    <cellStyle name="Обычный 25 16 10" xfId="2714"/>
    <cellStyle name="Обычный 25 16 10 2" xfId="3689"/>
    <cellStyle name="Обычный 25 16 10 2 2" xfId="5466"/>
    <cellStyle name="Обычный 25 16 10 3" xfId="4578"/>
    <cellStyle name="Обычный 25 16 11" xfId="2784"/>
    <cellStyle name="Обычный 25 16 11 2" xfId="3738"/>
    <cellStyle name="Обычный 25 16 11 2 2" xfId="5515"/>
    <cellStyle name="Обычный 25 16 11 3" xfId="4627"/>
    <cellStyle name="Обычный 25 16 12" xfId="2854"/>
    <cellStyle name="Обычный 25 16 12 2" xfId="3787"/>
    <cellStyle name="Обычный 25 16 12 2 2" xfId="5564"/>
    <cellStyle name="Обычный 25 16 12 3" xfId="4676"/>
    <cellStyle name="Обычный 25 16 13" xfId="2922"/>
    <cellStyle name="Обычный 25 16 13 2" xfId="3836"/>
    <cellStyle name="Обычный 25 16 13 2 2" xfId="5613"/>
    <cellStyle name="Обычный 25 16 13 3" xfId="4725"/>
    <cellStyle name="Обычный 25 16 14" xfId="2984"/>
    <cellStyle name="Обычный 25 16 14 2" xfId="3885"/>
    <cellStyle name="Обычный 25 16 14 2 2" xfId="5662"/>
    <cellStyle name="Обычный 25 16 14 3" xfId="4774"/>
    <cellStyle name="Обычный 25 16 2" xfId="2056"/>
    <cellStyle name="Обычный 25 16 2 2" xfId="3271"/>
    <cellStyle name="Обычный 25 16 2 2 2" xfId="5048"/>
    <cellStyle name="Обычный 25 16 2 3" xfId="4160"/>
    <cellStyle name="Обычный 25 16 3" xfId="2143"/>
    <cellStyle name="Обычный 25 16 3 2" xfId="3324"/>
    <cellStyle name="Обычный 25 16 3 2 2" xfId="5101"/>
    <cellStyle name="Обычный 25 16 3 3" xfId="4213"/>
    <cellStyle name="Обычный 25 16 4" xfId="2229"/>
    <cellStyle name="Обычный 25 16 4 2" xfId="3377"/>
    <cellStyle name="Обычный 25 16 4 2 2" xfId="5154"/>
    <cellStyle name="Обычный 25 16 4 3" xfId="4266"/>
    <cellStyle name="Обычный 25 16 5" xfId="2313"/>
    <cellStyle name="Обычный 25 16 5 2" xfId="3430"/>
    <cellStyle name="Обычный 25 16 5 2 2" xfId="5207"/>
    <cellStyle name="Обычный 25 16 5 3" xfId="4319"/>
    <cellStyle name="Обычный 25 16 6" xfId="2397"/>
    <cellStyle name="Обычный 25 16 6 2" xfId="3483"/>
    <cellStyle name="Обычный 25 16 6 2 2" xfId="5260"/>
    <cellStyle name="Обычный 25 16 6 3" xfId="4372"/>
    <cellStyle name="Обычный 25 16 7" xfId="2480"/>
    <cellStyle name="Обычный 25 16 7 2" xfId="3536"/>
    <cellStyle name="Обычный 25 16 7 2 2" xfId="5313"/>
    <cellStyle name="Обычный 25 16 7 3" xfId="4425"/>
    <cellStyle name="Обычный 25 16 8" xfId="2561"/>
    <cellStyle name="Обычный 25 16 8 2" xfId="3588"/>
    <cellStyle name="Обычный 25 16 8 2 2" xfId="5365"/>
    <cellStyle name="Обычный 25 16 8 3" xfId="4477"/>
    <cellStyle name="Обычный 25 16 9" xfId="2639"/>
    <cellStyle name="Обычный 25 16 9 2" xfId="3639"/>
    <cellStyle name="Обычный 25 16 9 2 2" xfId="5416"/>
    <cellStyle name="Обычный 25 16 9 3" xfId="4528"/>
    <cellStyle name="Обычный 25 17" xfId="886"/>
    <cellStyle name="Обычный 25 17 10" xfId="2719"/>
    <cellStyle name="Обычный 25 17 10 2" xfId="3693"/>
    <cellStyle name="Обычный 25 17 10 2 2" xfId="5470"/>
    <cellStyle name="Обычный 25 17 10 3" xfId="4582"/>
    <cellStyle name="Обычный 25 17 11" xfId="2789"/>
    <cellStyle name="Обычный 25 17 11 2" xfId="3742"/>
    <cellStyle name="Обычный 25 17 11 2 2" xfId="5519"/>
    <cellStyle name="Обычный 25 17 11 3" xfId="4631"/>
    <cellStyle name="Обычный 25 17 12" xfId="2859"/>
    <cellStyle name="Обычный 25 17 12 2" xfId="3791"/>
    <cellStyle name="Обычный 25 17 12 2 2" xfId="5568"/>
    <cellStyle name="Обычный 25 17 12 3" xfId="4680"/>
    <cellStyle name="Обычный 25 17 13" xfId="2927"/>
    <cellStyle name="Обычный 25 17 13 2" xfId="3840"/>
    <cellStyle name="Обычный 25 17 13 2 2" xfId="5617"/>
    <cellStyle name="Обычный 25 17 13 3" xfId="4729"/>
    <cellStyle name="Обычный 25 17 14" xfId="2989"/>
    <cellStyle name="Обычный 25 17 14 2" xfId="3889"/>
    <cellStyle name="Обычный 25 17 14 2 2" xfId="5666"/>
    <cellStyle name="Обычный 25 17 14 3" xfId="4778"/>
    <cellStyle name="Обычный 25 17 2" xfId="2061"/>
    <cellStyle name="Обычный 25 17 2 2" xfId="3275"/>
    <cellStyle name="Обычный 25 17 2 2 2" xfId="5052"/>
    <cellStyle name="Обычный 25 17 2 3" xfId="4164"/>
    <cellStyle name="Обычный 25 17 3" xfId="2148"/>
    <cellStyle name="Обычный 25 17 3 2" xfId="3328"/>
    <cellStyle name="Обычный 25 17 3 2 2" xfId="5105"/>
    <cellStyle name="Обычный 25 17 3 3" xfId="4217"/>
    <cellStyle name="Обычный 25 17 4" xfId="2234"/>
    <cellStyle name="Обычный 25 17 4 2" xfId="3381"/>
    <cellStyle name="Обычный 25 17 4 2 2" xfId="5158"/>
    <cellStyle name="Обычный 25 17 4 3" xfId="4270"/>
    <cellStyle name="Обычный 25 17 5" xfId="2318"/>
    <cellStyle name="Обычный 25 17 5 2" xfId="3434"/>
    <cellStyle name="Обычный 25 17 5 2 2" xfId="5211"/>
    <cellStyle name="Обычный 25 17 5 3" xfId="4323"/>
    <cellStyle name="Обычный 25 17 6" xfId="2402"/>
    <cellStyle name="Обычный 25 17 6 2" xfId="3487"/>
    <cellStyle name="Обычный 25 17 6 2 2" xfId="5264"/>
    <cellStyle name="Обычный 25 17 6 3" xfId="4376"/>
    <cellStyle name="Обычный 25 17 7" xfId="2485"/>
    <cellStyle name="Обычный 25 17 7 2" xfId="3540"/>
    <cellStyle name="Обычный 25 17 7 2 2" xfId="5317"/>
    <cellStyle name="Обычный 25 17 7 3" xfId="4429"/>
    <cellStyle name="Обычный 25 17 8" xfId="2566"/>
    <cellStyle name="Обычный 25 17 8 2" xfId="3592"/>
    <cellStyle name="Обычный 25 17 8 2 2" xfId="5369"/>
    <cellStyle name="Обычный 25 17 8 3" xfId="4481"/>
    <cellStyle name="Обычный 25 17 9" xfId="2644"/>
    <cellStyle name="Обычный 25 17 9 2" xfId="3643"/>
    <cellStyle name="Обычный 25 17 9 2 2" xfId="5420"/>
    <cellStyle name="Обычный 25 17 9 3" xfId="4532"/>
    <cellStyle name="Обычный 25 18" xfId="1388"/>
    <cellStyle name="Обычный 25 18 10" xfId="2724"/>
    <cellStyle name="Обычный 25 18 10 2" xfId="3697"/>
    <cellStyle name="Обычный 25 18 10 2 2" xfId="5474"/>
    <cellStyle name="Обычный 25 18 10 3" xfId="4586"/>
    <cellStyle name="Обычный 25 18 11" xfId="2794"/>
    <cellStyle name="Обычный 25 18 11 2" xfId="3746"/>
    <cellStyle name="Обычный 25 18 11 2 2" xfId="5523"/>
    <cellStyle name="Обычный 25 18 11 3" xfId="4635"/>
    <cellStyle name="Обычный 25 18 12" xfId="2864"/>
    <cellStyle name="Обычный 25 18 12 2" xfId="3795"/>
    <cellStyle name="Обычный 25 18 12 2 2" xfId="5572"/>
    <cellStyle name="Обычный 25 18 12 3" xfId="4684"/>
    <cellStyle name="Обычный 25 18 13" xfId="2932"/>
    <cellStyle name="Обычный 25 18 13 2" xfId="3844"/>
    <cellStyle name="Обычный 25 18 13 2 2" xfId="5621"/>
    <cellStyle name="Обычный 25 18 13 3" xfId="4733"/>
    <cellStyle name="Обычный 25 18 14" xfId="2994"/>
    <cellStyle name="Обычный 25 18 14 2" xfId="3893"/>
    <cellStyle name="Обычный 25 18 14 2 2" xfId="5670"/>
    <cellStyle name="Обычный 25 18 14 3" xfId="4782"/>
    <cellStyle name="Обычный 25 18 2" xfId="2066"/>
    <cellStyle name="Обычный 25 18 2 2" xfId="3279"/>
    <cellStyle name="Обычный 25 18 2 2 2" xfId="5056"/>
    <cellStyle name="Обычный 25 18 2 3" xfId="4168"/>
    <cellStyle name="Обычный 25 18 3" xfId="2153"/>
    <cellStyle name="Обычный 25 18 3 2" xfId="3332"/>
    <cellStyle name="Обычный 25 18 3 2 2" xfId="5109"/>
    <cellStyle name="Обычный 25 18 3 3" xfId="4221"/>
    <cellStyle name="Обычный 25 18 4" xfId="2239"/>
    <cellStyle name="Обычный 25 18 4 2" xfId="3385"/>
    <cellStyle name="Обычный 25 18 4 2 2" xfId="5162"/>
    <cellStyle name="Обычный 25 18 4 3" xfId="4274"/>
    <cellStyle name="Обычный 25 18 5" xfId="2323"/>
    <cellStyle name="Обычный 25 18 5 2" xfId="3438"/>
    <cellStyle name="Обычный 25 18 5 2 2" xfId="5215"/>
    <cellStyle name="Обычный 25 18 5 3" xfId="4327"/>
    <cellStyle name="Обычный 25 18 6" xfId="2407"/>
    <cellStyle name="Обычный 25 18 6 2" xfId="3491"/>
    <cellStyle name="Обычный 25 18 6 2 2" xfId="5268"/>
    <cellStyle name="Обычный 25 18 6 3" xfId="4380"/>
    <cellStyle name="Обычный 25 18 7" xfId="2490"/>
    <cellStyle name="Обычный 25 18 7 2" xfId="3544"/>
    <cellStyle name="Обычный 25 18 7 2 2" xfId="5321"/>
    <cellStyle name="Обычный 25 18 7 3" xfId="4433"/>
    <cellStyle name="Обычный 25 18 8" xfId="2571"/>
    <cellStyle name="Обычный 25 18 8 2" xfId="3596"/>
    <cellStyle name="Обычный 25 18 8 2 2" xfId="5373"/>
    <cellStyle name="Обычный 25 18 8 3" xfId="4485"/>
    <cellStyle name="Обычный 25 18 9" xfId="2649"/>
    <cellStyle name="Обычный 25 18 9 2" xfId="3647"/>
    <cellStyle name="Обычный 25 18 9 2 2" xfId="5424"/>
    <cellStyle name="Обычный 25 18 9 3" xfId="4536"/>
    <cellStyle name="Обычный 25 19" xfId="1418"/>
    <cellStyle name="Обычный 25 19 10" xfId="2729"/>
    <cellStyle name="Обычный 25 19 10 2" xfId="3701"/>
    <cellStyle name="Обычный 25 19 10 2 2" xfId="5478"/>
    <cellStyle name="Обычный 25 19 10 3" xfId="4590"/>
    <cellStyle name="Обычный 25 19 11" xfId="2799"/>
    <cellStyle name="Обычный 25 19 11 2" xfId="3750"/>
    <cellStyle name="Обычный 25 19 11 2 2" xfId="5527"/>
    <cellStyle name="Обычный 25 19 11 3" xfId="4639"/>
    <cellStyle name="Обычный 25 19 12" xfId="2869"/>
    <cellStyle name="Обычный 25 19 12 2" xfId="3799"/>
    <cellStyle name="Обычный 25 19 12 2 2" xfId="5576"/>
    <cellStyle name="Обычный 25 19 12 3" xfId="4688"/>
    <cellStyle name="Обычный 25 19 13" xfId="2937"/>
    <cellStyle name="Обычный 25 19 13 2" xfId="3848"/>
    <cellStyle name="Обычный 25 19 13 2 2" xfId="5625"/>
    <cellStyle name="Обычный 25 19 13 3" xfId="4737"/>
    <cellStyle name="Обычный 25 19 14" xfId="2999"/>
    <cellStyle name="Обычный 25 19 14 2" xfId="3897"/>
    <cellStyle name="Обычный 25 19 14 2 2" xfId="5674"/>
    <cellStyle name="Обычный 25 19 14 3" xfId="4786"/>
    <cellStyle name="Обычный 25 19 2" xfId="2071"/>
    <cellStyle name="Обычный 25 19 2 2" xfId="3283"/>
    <cellStyle name="Обычный 25 19 2 2 2" xfId="5060"/>
    <cellStyle name="Обычный 25 19 2 3" xfId="4172"/>
    <cellStyle name="Обычный 25 19 3" xfId="2158"/>
    <cellStyle name="Обычный 25 19 3 2" xfId="3336"/>
    <cellStyle name="Обычный 25 19 3 2 2" xfId="5113"/>
    <cellStyle name="Обычный 25 19 3 3" xfId="4225"/>
    <cellStyle name="Обычный 25 19 4" xfId="2244"/>
    <cellStyle name="Обычный 25 19 4 2" xfId="3389"/>
    <cellStyle name="Обычный 25 19 4 2 2" xfId="5166"/>
    <cellStyle name="Обычный 25 19 4 3" xfId="4278"/>
    <cellStyle name="Обычный 25 19 5" xfId="2328"/>
    <cellStyle name="Обычный 25 19 5 2" xfId="3442"/>
    <cellStyle name="Обычный 25 19 5 2 2" xfId="5219"/>
    <cellStyle name="Обычный 25 19 5 3" xfId="4331"/>
    <cellStyle name="Обычный 25 19 6" xfId="2412"/>
    <cellStyle name="Обычный 25 19 6 2" xfId="3495"/>
    <cellStyle name="Обычный 25 19 6 2 2" xfId="5272"/>
    <cellStyle name="Обычный 25 19 6 3" xfId="4384"/>
    <cellStyle name="Обычный 25 19 7" xfId="2495"/>
    <cellStyle name="Обычный 25 19 7 2" xfId="3548"/>
    <cellStyle name="Обычный 25 19 7 2 2" xfId="5325"/>
    <cellStyle name="Обычный 25 19 7 3" xfId="4437"/>
    <cellStyle name="Обычный 25 19 8" xfId="2576"/>
    <cellStyle name="Обычный 25 19 8 2" xfId="3600"/>
    <cellStyle name="Обычный 25 19 8 2 2" xfId="5377"/>
    <cellStyle name="Обычный 25 19 8 3" xfId="4489"/>
    <cellStyle name="Обычный 25 19 9" xfId="2654"/>
    <cellStyle name="Обычный 25 19 9 2" xfId="3651"/>
    <cellStyle name="Обычный 25 19 9 2 2" xfId="5428"/>
    <cellStyle name="Обычный 25 19 9 3" xfId="4540"/>
    <cellStyle name="Обычный 25 2" xfId="178"/>
    <cellStyle name="Обычный 25 2 2" xfId="620"/>
    <cellStyle name="Обычный 25 2 2 2" xfId="3140"/>
    <cellStyle name="Обычный 25 2 2 2 2" xfId="4917"/>
    <cellStyle name="Обычный 25 2 2 3" xfId="4029"/>
    <cellStyle name="Обычный 25 20" xfId="1419"/>
    <cellStyle name="Обычный 25 20 10" xfId="2734"/>
    <cellStyle name="Обычный 25 20 10 2" xfId="3705"/>
    <cellStyle name="Обычный 25 20 10 2 2" xfId="5482"/>
    <cellStyle name="Обычный 25 20 10 3" xfId="4594"/>
    <cellStyle name="Обычный 25 20 11" xfId="2804"/>
    <cellStyle name="Обычный 25 20 11 2" xfId="3754"/>
    <cellStyle name="Обычный 25 20 11 2 2" xfId="5531"/>
    <cellStyle name="Обычный 25 20 11 3" xfId="4643"/>
    <cellStyle name="Обычный 25 20 12" xfId="2874"/>
    <cellStyle name="Обычный 25 20 12 2" xfId="3803"/>
    <cellStyle name="Обычный 25 20 12 2 2" xfId="5580"/>
    <cellStyle name="Обычный 25 20 12 3" xfId="4692"/>
    <cellStyle name="Обычный 25 20 13" xfId="2942"/>
    <cellStyle name="Обычный 25 20 13 2" xfId="3852"/>
    <cellStyle name="Обычный 25 20 13 2 2" xfId="5629"/>
    <cellStyle name="Обычный 25 20 13 3" xfId="4741"/>
    <cellStyle name="Обычный 25 20 14" xfId="3004"/>
    <cellStyle name="Обычный 25 20 14 2" xfId="3901"/>
    <cellStyle name="Обычный 25 20 14 2 2" xfId="5678"/>
    <cellStyle name="Обычный 25 20 14 3" xfId="4790"/>
    <cellStyle name="Обычный 25 20 2" xfId="2076"/>
    <cellStyle name="Обычный 25 20 2 2" xfId="3287"/>
    <cellStyle name="Обычный 25 20 2 2 2" xfId="5064"/>
    <cellStyle name="Обычный 25 20 2 3" xfId="4176"/>
    <cellStyle name="Обычный 25 20 3" xfId="2163"/>
    <cellStyle name="Обычный 25 20 3 2" xfId="3340"/>
    <cellStyle name="Обычный 25 20 3 2 2" xfId="5117"/>
    <cellStyle name="Обычный 25 20 3 3" xfId="4229"/>
    <cellStyle name="Обычный 25 20 4" xfId="2249"/>
    <cellStyle name="Обычный 25 20 4 2" xfId="3393"/>
    <cellStyle name="Обычный 25 20 4 2 2" xfId="5170"/>
    <cellStyle name="Обычный 25 20 4 3" xfId="4282"/>
    <cellStyle name="Обычный 25 20 5" xfId="2333"/>
    <cellStyle name="Обычный 25 20 5 2" xfId="3446"/>
    <cellStyle name="Обычный 25 20 5 2 2" xfId="5223"/>
    <cellStyle name="Обычный 25 20 5 3" xfId="4335"/>
    <cellStyle name="Обычный 25 20 6" xfId="2417"/>
    <cellStyle name="Обычный 25 20 6 2" xfId="3499"/>
    <cellStyle name="Обычный 25 20 6 2 2" xfId="5276"/>
    <cellStyle name="Обычный 25 20 6 3" xfId="4388"/>
    <cellStyle name="Обычный 25 20 7" xfId="2500"/>
    <cellStyle name="Обычный 25 20 7 2" xfId="3552"/>
    <cellStyle name="Обычный 25 20 7 2 2" xfId="5329"/>
    <cellStyle name="Обычный 25 20 7 3" xfId="4441"/>
    <cellStyle name="Обычный 25 20 8" xfId="2581"/>
    <cellStyle name="Обычный 25 20 8 2" xfId="3604"/>
    <cellStyle name="Обычный 25 20 8 2 2" xfId="5381"/>
    <cellStyle name="Обычный 25 20 8 3" xfId="4493"/>
    <cellStyle name="Обычный 25 20 9" xfId="2659"/>
    <cellStyle name="Обычный 25 20 9 2" xfId="3655"/>
    <cellStyle name="Обычный 25 20 9 2 2" xfId="5432"/>
    <cellStyle name="Обычный 25 20 9 3" xfId="4544"/>
    <cellStyle name="Обычный 25 21" xfId="1383"/>
    <cellStyle name="Обычный 25 21 10" xfId="2739"/>
    <cellStyle name="Обычный 25 21 10 2" xfId="3709"/>
    <cellStyle name="Обычный 25 21 10 2 2" xfId="5486"/>
    <cellStyle name="Обычный 25 21 10 3" xfId="4598"/>
    <cellStyle name="Обычный 25 21 11" xfId="2809"/>
    <cellStyle name="Обычный 25 21 11 2" xfId="3758"/>
    <cellStyle name="Обычный 25 21 11 2 2" xfId="5535"/>
    <cellStyle name="Обычный 25 21 11 3" xfId="4647"/>
    <cellStyle name="Обычный 25 21 12" xfId="2879"/>
    <cellStyle name="Обычный 25 21 12 2" xfId="3807"/>
    <cellStyle name="Обычный 25 21 12 2 2" xfId="5584"/>
    <cellStyle name="Обычный 25 21 12 3" xfId="4696"/>
    <cellStyle name="Обычный 25 21 13" xfId="2947"/>
    <cellStyle name="Обычный 25 21 13 2" xfId="3856"/>
    <cellStyle name="Обычный 25 21 13 2 2" xfId="5633"/>
    <cellStyle name="Обычный 25 21 13 3" xfId="4745"/>
    <cellStyle name="Обычный 25 21 14" xfId="3009"/>
    <cellStyle name="Обычный 25 21 14 2" xfId="3905"/>
    <cellStyle name="Обычный 25 21 14 2 2" xfId="5682"/>
    <cellStyle name="Обычный 25 21 14 3" xfId="4794"/>
    <cellStyle name="Обычный 25 21 2" xfId="2081"/>
    <cellStyle name="Обычный 25 21 2 2" xfId="3291"/>
    <cellStyle name="Обычный 25 21 2 2 2" xfId="5068"/>
    <cellStyle name="Обычный 25 21 2 3" xfId="4180"/>
    <cellStyle name="Обычный 25 21 3" xfId="2168"/>
    <cellStyle name="Обычный 25 21 3 2" xfId="3344"/>
    <cellStyle name="Обычный 25 21 3 2 2" xfId="5121"/>
    <cellStyle name="Обычный 25 21 3 3" xfId="4233"/>
    <cellStyle name="Обычный 25 21 4" xfId="2254"/>
    <cellStyle name="Обычный 25 21 4 2" xfId="3397"/>
    <cellStyle name="Обычный 25 21 4 2 2" xfId="5174"/>
    <cellStyle name="Обычный 25 21 4 3" xfId="4286"/>
    <cellStyle name="Обычный 25 21 5" xfId="2338"/>
    <cellStyle name="Обычный 25 21 5 2" xfId="3450"/>
    <cellStyle name="Обычный 25 21 5 2 2" xfId="5227"/>
    <cellStyle name="Обычный 25 21 5 3" xfId="4339"/>
    <cellStyle name="Обычный 25 21 6" xfId="2422"/>
    <cellStyle name="Обычный 25 21 6 2" xfId="3503"/>
    <cellStyle name="Обычный 25 21 6 2 2" xfId="5280"/>
    <cellStyle name="Обычный 25 21 6 3" xfId="4392"/>
    <cellStyle name="Обычный 25 21 7" xfId="2505"/>
    <cellStyle name="Обычный 25 21 7 2" xfId="3556"/>
    <cellStyle name="Обычный 25 21 7 2 2" xfId="5333"/>
    <cellStyle name="Обычный 25 21 7 3" xfId="4445"/>
    <cellStyle name="Обычный 25 21 8" xfId="2586"/>
    <cellStyle name="Обычный 25 21 8 2" xfId="3608"/>
    <cellStyle name="Обычный 25 21 8 2 2" xfId="5385"/>
    <cellStyle name="Обычный 25 21 8 3" xfId="4497"/>
    <cellStyle name="Обычный 25 21 9" xfId="2664"/>
    <cellStyle name="Обычный 25 21 9 2" xfId="3659"/>
    <cellStyle name="Обычный 25 21 9 2 2" xfId="5436"/>
    <cellStyle name="Обычный 25 21 9 3" xfId="4548"/>
    <cellStyle name="Обычный 25 22" xfId="1214"/>
    <cellStyle name="Обычный 25 22 10" xfId="2744"/>
    <cellStyle name="Обычный 25 22 10 2" xfId="3713"/>
    <cellStyle name="Обычный 25 22 10 2 2" xfId="5490"/>
    <cellStyle name="Обычный 25 22 10 3" xfId="4602"/>
    <cellStyle name="Обычный 25 22 11" xfId="2814"/>
    <cellStyle name="Обычный 25 22 11 2" xfId="3762"/>
    <cellStyle name="Обычный 25 22 11 2 2" xfId="5539"/>
    <cellStyle name="Обычный 25 22 11 3" xfId="4651"/>
    <cellStyle name="Обычный 25 22 12" xfId="2884"/>
    <cellStyle name="Обычный 25 22 12 2" xfId="3811"/>
    <cellStyle name="Обычный 25 22 12 2 2" xfId="5588"/>
    <cellStyle name="Обычный 25 22 12 3" xfId="4700"/>
    <cellStyle name="Обычный 25 22 13" xfId="2952"/>
    <cellStyle name="Обычный 25 22 13 2" xfId="3860"/>
    <cellStyle name="Обычный 25 22 13 2 2" xfId="5637"/>
    <cellStyle name="Обычный 25 22 13 3" xfId="4749"/>
    <cellStyle name="Обычный 25 22 14" xfId="3014"/>
    <cellStyle name="Обычный 25 22 14 2" xfId="3909"/>
    <cellStyle name="Обычный 25 22 14 2 2" xfId="5686"/>
    <cellStyle name="Обычный 25 22 14 3" xfId="4798"/>
    <cellStyle name="Обычный 25 22 2" xfId="2086"/>
    <cellStyle name="Обычный 25 22 2 2" xfId="3295"/>
    <cellStyle name="Обычный 25 22 2 2 2" xfId="5072"/>
    <cellStyle name="Обычный 25 22 2 3" xfId="4184"/>
    <cellStyle name="Обычный 25 22 3" xfId="2173"/>
    <cellStyle name="Обычный 25 22 3 2" xfId="3348"/>
    <cellStyle name="Обычный 25 22 3 2 2" xfId="5125"/>
    <cellStyle name="Обычный 25 22 3 3" xfId="4237"/>
    <cellStyle name="Обычный 25 22 4" xfId="2259"/>
    <cellStyle name="Обычный 25 22 4 2" xfId="3401"/>
    <cellStyle name="Обычный 25 22 4 2 2" xfId="5178"/>
    <cellStyle name="Обычный 25 22 4 3" xfId="4290"/>
    <cellStyle name="Обычный 25 22 5" xfId="2343"/>
    <cellStyle name="Обычный 25 22 5 2" xfId="3454"/>
    <cellStyle name="Обычный 25 22 5 2 2" xfId="5231"/>
    <cellStyle name="Обычный 25 22 5 3" xfId="4343"/>
    <cellStyle name="Обычный 25 22 6" xfId="2427"/>
    <cellStyle name="Обычный 25 22 6 2" xfId="3507"/>
    <cellStyle name="Обычный 25 22 6 2 2" xfId="5284"/>
    <cellStyle name="Обычный 25 22 6 3" xfId="4396"/>
    <cellStyle name="Обычный 25 22 7" xfId="2510"/>
    <cellStyle name="Обычный 25 22 7 2" xfId="3560"/>
    <cellStyle name="Обычный 25 22 7 2 2" xfId="5337"/>
    <cellStyle name="Обычный 25 22 7 3" xfId="4449"/>
    <cellStyle name="Обычный 25 22 8" xfId="2591"/>
    <cellStyle name="Обычный 25 22 8 2" xfId="3612"/>
    <cellStyle name="Обычный 25 22 8 2 2" xfId="5389"/>
    <cellStyle name="Обычный 25 22 8 3" xfId="4501"/>
    <cellStyle name="Обычный 25 22 9" xfId="2669"/>
    <cellStyle name="Обычный 25 22 9 2" xfId="3663"/>
    <cellStyle name="Обычный 25 22 9 2 2" xfId="5440"/>
    <cellStyle name="Обычный 25 22 9 3" xfId="4552"/>
    <cellStyle name="Обычный 25 23" xfId="1336"/>
    <cellStyle name="Обычный 25 23 10" xfId="2749"/>
    <cellStyle name="Обычный 25 23 10 2" xfId="3717"/>
    <cellStyle name="Обычный 25 23 10 2 2" xfId="5494"/>
    <cellStyle name="Обычный 25 23 10 3" xfId="4606"/>
    <cellStyle name="Обычный 25 23 11" xfId="2819"/>
    <cellStyle name="Обычный 25 23 11 2" xfId="3766"/>
    <cellStyle name="Обычный 25 23 11 2 2" xfId="5543"/>
    <cellStyle name="Обычный 25 23 11 3" xfId="4655"/>
    <cellStyle name="Обычный 25 23 12" xfId="2889"/>
    <cellStyle name="Обычный 25 23 12 2" xfId="3815"/>
    <cellStyle name="Обычный 25 23 12 2 2" xfId="5592"/>
    <cellStyle name="Обычный 25 23 12 3" xfId="4704"/>
    <cellStyle name="Обычный 25 23 13" xfId="2957"/>
    <cellStyle name="Обычный 25 23 13 2" xfId="3864"/>
    <cellStyle name="Обычный 25 23 13 2 2" xfId="5641"/>
    <cellStyle name="Обычный 25 23 13 3" xfId="4753"/>
    <cellStyle name="Обычный 25 23 14" xfId="3019"/>
    <cellStyle name="Обычный 25 23 14 2" xfId="3913"/>
    <cellStyle name="Обычный 25 23 14 2 2" xfId="5690"/>
    <cellStyle name="Обычный 25 23 14 3" xfId="4802"/>
    <cellStyle name="Обычный 25 23 2" xfId="2091"/>
    <cellStyle name="Обычный 25 23 2 2" xfId="3299"/>
    <cellStyle name="Обычный 25 23 2 2 2" xfId="5076"/>
    <cellStyle name="Обычный 25 23 2 3" xfId="4188"/>
    <cellStyle name="Обычный 25 23 3" xfId="2178"/>
    <cellStyle name="Обычный 25 23 3 2" xfId="3352"/>
    <cellStyle name="Обычный 25 23 3 2 2" xfId="5129"/>
    <cellStyle name="Обычный 25 23 3 3" xfId="4241"/>
    <cellStyle name="Обычный 25 23 4" xfId="2264"/>
    <cellStyle name="Обычный 25 23 4 2" xfId="3405"/>
    <cellStyle name="Обычный 25 23 4 2 2" xfId="5182"/>
    <cellStyle name="Обычный 25 23 4 3" xfId="4294"/>
    <cellStyle name="Обычный 25 23 5" xfId="2348"/>
    <cellStyle name="Обычный 25 23 5 2" xfId="3458"/>
    <cellStyle name="Обычный 25 23 5 2 2" xfId="5235"/>
    <cellStyle name="Обычный 25 23 5 3" xfId="4347"/>
    <cellStyle name="Обычный 25 23 6" xfId="2432"/>
    <cellStyle name="Обычный 25 23 6 2" xfId="3511"/>
    <cellStyle name="Обычный 25 23 6 2 2" xfId="5288"/>
    <cellStyle name="Обычный 25 23 6 3" xfId="4400"/>
    <cellStyle name="Обычный 25 23 7" xfId="2515"/>
    <cellStyle name="Обычный 25 23 7 2" xfId="3564"/>
    <cellStyle name="Обычный 25 23 7 2 2" xfId="5341"/>
    <cellStyle name="Обычный 25 23 7 3" xfId="4453"/>
    <cellStyle name="Обычный 25 23 8" xfId="2596"/>
    <cellStyle name="Обычный 25 23 8 2" xfId="3616"/>
    <cellStyle name="Обычный 25 23 8 2 2" xfId="5393"/>
    <cellStyle name="Обычный 25 23 8 3" xfId="4505"/>
    <cellStyle name="Обычный 25 23 9" xfId="2674"/>
    <cellStyle name="Обычный 25 23 9 2" xfId="3667"/>
    <cellStyle name="Обычный 25 23 9 2 2" xfId="5444"/>
    <cellStyle name="Обычный 25 23 9 3" xfId="4556"/>
    <cellStyle name="Обычный 25 24" xfId="1378"/>
    <cellStyle name="Обычный 25 24 10" xfId="2754"/>
    <cellStyle name="Обычный 25 24 10 2" xfId="3721"/>
    <cellStyle name="Обычный 25 24 10 2 2" xfId="5498"/>
    <cellStyle name="Обычный 25 24 10 3" xfId="4610"/>
    <cellStyle name="Обычный 25 24 11" xfId="2824"/>
    <cellStyle name="Обычный 25 24 11 2" xfId="3770"/>
    <cellStyle name="Обычный 25 24 11 2 2" xfId="5547"/>
    <cellStyle name="Обычный 25 24 11 3" xfId="4659"/>
    <cellStyle name="Обычный 25 24 12" xfId="2894"/>
    <cellStyle name="Обычный 25 24 12 2" xfId="3819"/>
    <cellStyle name="Обычный 25 24 12 2 2" xfId="5596"/>
    <cellStyle name="Обычный 25 24 12 3" xfId="4708"/>
    <cellStyle name="Обычный 25 24 13" xfId="2962"/>
    <cellStyle name="Обычный 25 24 13 2" xfId="3868"/>
    <cellStyle name="Обычный 25 24 13 2 2" xfId="5645"/>
    <cellStyle name="Обычный 25 24 13 3" xfId="4757"/>
    <cellStyle name="Обычный 25 24 14" xfId="3024"/>
    <cellStyle name="Обычный 25 24 14 2" xfId="3917"/>
    <cellStyle name="Обычный 25 24 14 2 2" xfId="5694"/>
    <cellStyle name="Обычный 25 24 14 3" xfId="4806"/>
    <cellStyle name="Обычный 25 24 2" xfId="2096"/>
    <cellStyle name="Обычный 25 24 2 2" xfId="3303"/>
    <cellStyle name="Обычный 25 24 2 2 2" xfId="5080"/>
    <cellStyle name="Обычный 25 24 2 3" xfId="4192"/>
    <cellStyle name="Обычный 25 24 3" xfId="2183"/>
    <cellStyle name="Обычный 25 24 3 2" xfId="3356"/>
    <cellStyle name="Обычный 25 24 3 2 2" xfId="5133"/>
    <cellStyle name="Обычный 25 24 3 3" xfId="4245"/>
    <cellStyle name="Обычный 25 24 4" xfId="2269"/>
    <cellStyle name="Обычный 25 24 4 2" xfId="3409"/>
    <cellStyle name="Обычный 25 24 4 2 2" xfId="5186"/>
    <cellStyle name="Обычный 25 24 4 3" xfId="4298"/>
    <cellStyle name="Обычный 25 24 5" xfId="2353"/>
    <cellStyle name="Обычный 25 24 5 2" xfId="3462"/>
    <cellStyle name="Обычный 25 24 5 2 2" xfId="5239"/>
    <cellStyle name="Обычный 25 24 5 3" xfId="4351"/>
    <cellStyle name="Обычный 25 24 6" xfId="2437"/>
    <cellStyle name="Обычный 25 24 6 2" xfId="3515"/>
    <cellStyle name="Обычный 25 24 6 2 2" xfId="5292"/>
    <cellStyle name="Обычный 25 24 6 3" xfId="4404"/>
    <cellStyle name="Обычный 25 24 7" xfId="2520"/>
    <cellStyle name="Обычный 25 24 7 2" xfId="3568"/>
    <cellStyle name="Обычный 25 24 7 2 2" xfId="5345"/>
    <cellStyle name="Обычный 25 24 7 3" xfId="4457"/>
    <cellStyle name="Обычный 25 24 8" xfId="2601"/>
    <cellStyle name="Обычный 25 24 8 2" xfId="3620"/>
    <cellStyle name="Обычный 25 24 8 2 2" xfId="5397"/>
    <cellStyle name="Обычный 25 24 8 3" xfId="4509"/>
    <cellStyle name="Обычный 25 24 9" xfId="2679"/>
    <cellStyle name="Обычный 25 24 9 2" xfId="3671"/>
    <cellStyle name="Обычный 25 24 9 2 2" xfId="5448"/>
    <cellStyle name="Обычный 25 24 9 3" xfId="4560"/>
    <cellStyle name="Обычный 25 25" xfId="1297"/>
    <cellStyle name="Обычный 25 25 10" xfId="2759"/>
    <cellStyle name="Обычный 25 25 10 2" xfId="3725"/>
    <cellStyle name="Обычный 25 25 10 2 2" xfId="5502"/>
    <cellStyle name="Обычный 25 25 10 3" xfId="4614"/>
    <cellStyle name="Обычный 25 25 11" xfId="2829"/>
    <cellStyle name="Обычный 25 25 11 2" xfId="3774"/>
    <cellStyle name="Обычный 25 25 11 2 2" xfId="5551"/>
    <cellStyle name="Обычный 25 25 11 3" xfId="4663"/>
    <cellStyle name="Обычный 25 25 12" xfId="2899"/>
    <cellStyle name="Обычный 25 25 12 2" xfId="3823"/>
    <cellStyle name="Обычный 25 25 12 2 2" xfId="5600"/>
    <cellStyle name="Обычный 25 25 12 3" xfId="4712"/>
    <cellStyle name="Обычный 25 25 13" xfId="2967"/>
    <cellStyle name="Обычный 25 25 13 2" xfId="3872"/>
    <cellStyle name="Обычный 25 25 13 2 2" xfId="5649"/>
    <cellStyle name="Обычный 25 25 13 3" xfId="4761"/>
    <cellStyle name="Обычный 25 25 14" xfId="3029"/>
    <cellStyle name="Обычный 25 25 14 2" xfId="3921"/>
    <cellStyle name="Обычный 25 25 14 2 2" xfId="5698"/>
    <cellStyle name="Обычный 25 25 14 3" xfId="4810"/>
    <cellStyle name="Обычный 25 25 2" xfId="2101"/>
    <cellStyle name="Обычный 25 25 2 2" xfId="3307"/>
    <cellStyle name="Обычный 25 25 2 2 2" xfId="5084"/>
    <cellStyle name="Обычный 25 25 2 3" xfId="4196"/>
    <cellStyle name="Обычный 25 25 3" xfId="2188"/>
    <cellStyle name="Обычный 25 25 3 2" xfId="3360"/>
    <cellStyle name="Обычный 25 25 3 2 2" xfId="5137"/>
    <cellStyle name="Обычный 25 25 3 3" xfId="4249"/>
    <cellStyle name="Обычный 25 25 4" xfId="2274"/>
    <cellStyle name="Обычный 25 25 4 2" xfId="3413"/>
    <cellStyle name="Обычный 25 25 4 2 2" xfId="5190"/>
    <cellStyle name="Обычный 25 25 4 3" xfId="4302"/>
    <cellStyle name="Обычный 25 25 5" xfId="2358"/>
    <cellStyle name="Обычный 25 25 5 2" xfId="3466"/>
    <cellStyle name="Обычный 25 25 5 2 2" xfId="5243"/>
    <cellStyle name="Обычный 25 25 5 3" xfId="4355"/>
    <cellStyle name="Обычный 25 25 6" xfId="2442"/>
    <cellStyle name="Обычный 25 25 6 2" xfId="3519"/>
    <cellStyle name="Обычный 25 25 6 2 2" xfId="5296"/>
    <cellStyle name="Обычный 25 25 6 3" xfId="4408"/>
    <cellStyle name="Обычный 25 25 7" xfId="2525"/>
    <cellStyle name="Обычный 25 25 7 2" xfId="3572"/>
    <cellStyle name="Обычный 25 25 7 2 2" xfId="5349"/>
    <cellStyle name="Обычный 25 25 7 3" xfId="4461"/>
    <cellStyle name="Обычный 25 25 8" xfId="2606"/>
    <cellStyle name="Обычный 25 25 8 2" xfId="3624"/>
    <cellStyle name="Обычный 25 25 8 2 2" xfId="5401"/>
    <cellStyle name="Обычный 25 25 8 3" xfId="4513"/>
    <cellStyle name="Обычный 25 25 9" xfId="2684"/>
    <cellStyle name="Обычный 25 25 9 2" xfId="3675"/>
    <cellStyle name="Обычный 25 25 9 2 2" xfId="5452"/>
    <cellStyle name="Обычный 25 25 9 3" xfId="4564"/>
    <cellStyle name="Обычный 25 26" xfId="1345"/>
    <cellStyle name="Обычный 25 26 10" xfId="2763"/>
    <cellStyle name="Обычный 25 26 10 2" xfId="3729"/>
    <cellStyle name="Обычный 25 26 10 2 2" xfId="5506"/>
    <cellStyle name="Обычный 25 26 10 3" xfId="4618"/>
    <cellStyle name="Обычный 25 26 11" xfId="2833"/>
    <cellStyle name="Обычный 25 26 11 2" xfId="3778"/>
    <cellStyle name="Обычный 25 26 11 2 2" xfId="5555"/>
    <cellStyle name="Обычный 25 26 11 3" xfId="4667"/>
    <cellStyle name="Обычный 25 26 12" xfId="2903"/>
    <cellStyle name="Обычный 25 26 12 2" xfId="3827"/>
    <cellStyle name="Обычный 25 26 12 2 2" xfId="5604"/>
    <cellStyle name="Обычный 25 26 12 3" xfId="4716"/>
    <cellStyle name="Обычный 25 26 13" xfId="2971"/>
    <cellStyle name="Обычный 25 26 13 2" xfId="3876"/>
    <cellStyle name="Обычный 25 26 13 2 2" xfId="5653"/>
    <cellStyle name="Обычный 25 26 13 3" xfId="4765"/>
    <cellStyle name="Обычный 25 26 14" xfId="3033"/>
    <cellStyle name="Обычный 25 26 14 2" xfId="3925"/>
    <cellStyle name="Обычный 25 26 14 2 2" xfId="5702"/>
    <cellStyle name="Обычный 25 26 14 3" xfId="4814"/>
    <cellStyle name="Обычный 25 26 2" xfId="2105"/>
    <cellStyle name="Обычный 25 26 2 2" xfId="3311"/>
    <cellStyle name="Обычный 25 26 2 2 2" xfId="5088"/>
    <cellStyle name="Обычный 25 26 2 3" xfId="4200"/>
    <cellStyle name="Обычный 25 26 3" xfId="2192"/>
    <cellStyle name="Обычный 25 26 3 2" xfId="3364"/>
    <cellStyle name="Обычный 25 26 3 2 2" xfId="5141"/>
    <cellStyle name="Обычный 25 26 3 3" xfId="4253"/>
    <cellStyle name="Обычный 25 26 4" xfId="2278"/>
    <cellStyle name="Обычный 25 26 4 2" xfId="3417"/>
    <cellStyle name="Обычный 25 26 4 2 2" xfId="5194"/>
    <cellStyle name="Обычный 25 26 4 3" xfId="4306"/>
    <cellStyle name="Обычный 25 26 5" xfId="2362"/>
    <cellStyle name="Обычный 25 26 5 2" xfId="3470"/>
    <cellStyle name="Обычный 25 26 5 2 2" xfId="5247"/>
    <cellStyle name="Обычный 25 26 5 3" xfId="4359"/>
    <cellStyle name="Обычный 25 26 6" xfId="2446"/>
    <cellStyle name="Обычный 25 26 6 2" xfId="3523"/>
    <cellStyle name="Обычный 25 26 6 2 2" xfId="5300"/>
    <cellStyle name="Обычный 25 26 6 3" xfId="4412"/>
    <cellStyle name="Обычный 25 26 7" xfId="2529"/>
    <cellStyle name="Обычный 25 26 7 2" xfId="3576"/>
    <cellStyle name="Обычный 25 26 7 2 2" xfId="5353"/>
    <cellStyle name="Обычный 25 26 7 3" xfId="4465"/>
    <cellStyle name="Обычный 25 26 8" xfId="2610"/>
    <cellStyle name="Обычный 25 26 8 2" xfId="3628"/>
    <cellStyle name="Обычный 25 26 8 2 2" xfId="5405"/>
    <cellStyle name="Обычный 25 26 8 3" xfId="4517"/>
    <cellStyle name="Обычный 25 26 9" xfId="2688"/>
    <cellStyle name="Обычный 25 26 9 2" xfId="3679"/>
    <cellStyle name="Обычный 25 26 9 2 2" xfId="5456"/>
    <cellStyle name="Обычный 25 26 9 3" xfId="4568"/>
    <cellStyle name="Обычный 25 27" xfId="1452"/>
    <cellStyle name="Обычный 25 27 10" xfId="2767"/>
    <cellStyle name="Обычный 25 27 10 2" xfId="3733"/>
    <cellStyle name="Обычный 25 27 10 2 2" xfId="5510"/>
    <cellStyle name="Обычный 25 27 10 3" xfId="4622"/>
    <cellStyle name="Обычный 25 27 11" xfId="2837"/>
    <cellStyle name="Обычный 25 27 11 2" xfId="3782"/>
    <cellStyle name="Обычный 25 27 11 2 2" xfId="5559"/>
    <cellStyle name="Обычный 25 27 11 3" xfId="4671"/>
    <cellStyle name="Обычный 25 27 12" xfId="2907"/>
    <cellStyle name="Обычный 25 27 12 2" xfId="3831"/>
    <cellStyle name="Обычный 25 27 12 2 2" xfId="5608"/>
    <cellStyle name="Обычный 25 27 12 3" xfId="4720"/>
    <cellStyle name="Обычный 25 27 13" xfId="2975"/>
    <cellStyle name="Обычный 25 27 13 2" xfId="3880"/>
    <cellStyle name="Обычный 25 27 13 2 2" xfId="5657"/>
    <cellStyle name="Обычный 25 27 13 3" xfId="4769"/>
    <cellStyle name="Обычный 25 27 14" xfId="3037"/>
    <cellStyle name="Обычный 25 27 14 2" xfId="3929"/>
    <cellStyle name="Обычный 25 27 14 2 2" xfId="5706"/>
    <cellStyle name="Обычный 25 27 14 3" xfId="4818"/>
    <cellStyle name="Обычный 25 27 2" xfId="2109"/>
    <cellStyle name="Обычный 25 27 2 2" xfId="3315"/>
    <cellStyle name="Обычный 25 27 2 2 2" xfId="5092"/>
    <cellStyle name="Обычный 25 27 2 3" xfId="4204"/>
    <cellStyle name="Обычный 25 27 3" xfId="2196"/>
    <cellStyle name="Обычный 25 27 3 2" xfId="3368"/>
    <cellStyle name="Обычный 25 27 3 2 2" xfId="5145"/>
    <cellStyle name="Обычный 25 27 3 3" xfId="4257"/>
    <cellStyle name="Обычный 25 27 4" xfId="2282"/>
    <cellStyle name="Обычный 25 27 4 2" xfId="3421"/>
    <cellStyle name="Обычный 25 27 4 2 2" xfId="5198"/>
    <cellStyle name="Обычный 25 27 4 3" xfId="4310"/>
    <cellStyle name="Обычный 25 27 5" xfId="2366"/>
    <cellStyle name="Обычный 25 27 5 2" xfId="3474"/>
    <cellStyle name="Обычный 25 27 5 2 2" xfId="5251"/>
    <cellStyle name="Обычный 25 27 5 3" xfId="4363"/>
    <cellStyle name="Обычный 25 27 6" xfId="2450"/>
    <cellStyle name="Обычный 25 27 6 2" xfId="3527"/>
    <cellStyle name="Обычный 25 27 6 2 2" xfId="5304"/>
    <cellStyle name="Обычный 25 27 6 3" xfId="4416"/>
    <cellStyle name="Обычный 25 27 7" xfId="2533"/>
    <cellStyle name="Обычный 25 27 7 2" xfId="3580"/>
    <cellStyle name="Обычный 25 27 7 2 2" xfId="5357"/>
    <cellStyle name="Обычный 25 27 7 3" xfId="4469"/>
    <cellStyle name="Обычный 25 27 8" xfId="2614"/>
    <cellStyle name="Обычный 25 27 8 2" xfId="3632"/>
    <cellStyle name="Обычный 25 27 8 2 2" xfId="5409"/>
    <cellStyle name="Обычный 25 27 8 3" xfId="4521"/>
    <cellStyle name="Обычный 25 27 9" xfId="2692"/>
    <cellStyle name="Обычный 25 27 9 2" xfId="3683"/>
    <cellStyle name="Обычный 25 27 9 2 2" xfId="5460"/>
    <cellStyle name="Обычный 25 27 9 3" xfId="4572"/>
    <cellStyle name="Обычный 25 28" xfId="1280"/>
    <cellStyle name="Обычный 25 29" xfId="1509"/>
    <cellStyle name="Обычный 25 3" xfId="841"/>
    <cellStyle name="Обычный 25 3 10" xfId="1306"/>
    <cellStyle name="Обычный 25 3 10 2" xfId="3224"/>
    <cellStyle name="Обычный 25 3 10 2 2" xfId="5001"/>
    <cellStyle name="Обычный 25 3 10 3" xfId="4113"/>
    <cellStyle name="Обычный 25 3 11" xfId="1619"/>
    <cellStyle name="Обычный 25 3 11 2" xfId="3234"/>
    <cellStyle name="Обычный 25 3 11 2 2" xfId="5011"/>
    <cellStyle name="Обычный 25 3 11 3" xfId="4123"/>
    <cellStyle name="Обычный 25 3 12" xfId="1459"/>
    <cellStyle name="Обычный 25 3 12 2" xfId="3228"/>
    <cellStyle name="Обычный 25 3 12 2 2" xfId="5005"/>
    <cellStyle name="Обычный 25 3 12 3" xfId="4117"/>
    <cellStyle name="Обычный 25 3 13" xfId="1675"/>
    <cellStyle name="Обычный 25 3 13 2" xfId="3239"/>
    <cellStyle name="Обычный 25 3 13 2 2" xfId="5016"/>
    <cellStyle name="Обычный 25 3 13 3" xfId="4128"/>
    <cellStyle name="Обычный 25 3 14" xfId="1515"/>
    <cellStyle name="Обычный 25 3 14 2" xfId="3231"/>
    <cellStyle name="Обычный 25 3 14 2 2" xfId="5008"/>
    <cellStyle name="Обычный 25 3 14 3" xfId="4120"/>
    <cellStyle name="Обычный 25 3 15" xfId="1730"/>
    <cellStyle name="Обычный 25 3 15 2" xfId="3243"/>
    <cellStyle name="Обычный 25 3 15 2 2" xfId="5020"/>
    <cellStyle name="Обычный 25 3 15 3" xfId="4132"/>
    <cellStyle name="Обычный 25 3 16" xfId="1575"/>
    <cellStyle name="Обычный 25 3 16 2" xfId="3233"/>
    <cellStyle name="Обычный 25 3 16 2 2" xfId="5010"/>
    <cellStyle name="Обычный 25 3 16 3" xfId="4122"/>
    <cellStyle name="Обычный 25 3 17" xfId="1779"/>
    <cellStyle name="Обычный 25 3 17 2" xfId="3246"/>
    <cellStyle name="Обычный 25 3 17 2 2" xfId="5023"/>
    <cellStyle name="Обычный 25 3 17 3" xfId="4135"/>
    <cellStyle name="Обычный 25 3 18" xfId="1629"/>
    <cellStyle name="Обычный 25 3 18 2" xfId="3235"/>
    <cellStyle name="Обычный 25 3 18 2 2" xfId="5012"/>
    <cellStyle name="Обычный 25 3 18 3" xfId="4124"/>
    <cellStyle name="Обычный 25 3 19" xfId="1827"/>
    <cellStyle name="Обычный 25 3 19 2" xfId="3248"/>
    <cellStyle name="Обычный 25 3 19 2 2" xfId="5025"/>
    <cellStyle name="Обычный 25 3 19 3" xfId="4137"/>
    <cellStyle name="Обычный 25 3 2" xfId="919"/>
    <cellStyle name="Обычный 25 3 2 2" xfId="3173"/>
    <cellStyle name="Обычный 25 3 2 2 2" xfId="4950"/>
    <cellStyle name="Обычный 25 3 2 3" xfId="4062"/>
    <cellStyle name="Обычный 25 3 20" xfId="1684"/>
    <cellStyle name="Обычный 25 3 20 2" xfId="3240"/>
    <cellStyle name="Обычный 25 3 20 2 2" xfId="5017"/>
    <cellStyle name="Обычный 25 3 20 3" xfId="4129"/>
    <cellStyle name="Обычный 25 3 21" xfId="1877"/>
    <cellStyle name="Обычный 25 3 21 2" xfId="3251"/>
    <cellStyle name="Обычный 25 3 21 2 2" xfId="5028"/>
    <cellStyle name="Обычный 25 3 21 3" xfId="4140"/>
    <cellStyle name="Обычный 25 3 22" xfId="1741"/>
    <cellStyle name="Обычный 25 3 22 2" xfId="3244"/>
    <cellStyle name="Обычный 25 3 22 2 2" xfId="5021"/>
    <cellStyle name="Обычный 25 3 22 3" xfId="4133"/>
    <cellStyle name="Обычный 25 3 23" xfId="1922"/>
    <cellStyle name="Обычный 25 3 23 2" xfId="3254"/>
    <cellStyle name="Обычный 25 3 23 2 2" xfId="5031"/>
    <cellStyle name="Обычный 25 3 23 3" xfId="4143"/>
    <cellStyle name="Обычный 25 3 24" xfId="1790"/>
    <cellStyle name="Обычный 25 3 24 2" xfId="3247"/>
    <cellStyle name="Обычный 25 3 24 2 2" xfId="5024"/>
    <cellStyle name="Обычный 25 3 24 3" xfId="4136"/>
    <cellStyle name="Обычный 25 3 25" xfId="1967"/>
    <cellStyle name="Обычный 25 3 25 2" xfId="3256"/>
    <cellStyle name="Обычный 25 3 25 2 2" xfId="5033"/>
    <cellStyle name="Обычный 25 3 25 3" xfId="4145"/>
    <cellStyle name="Обычный 25 3 26" xfId="1839"/>
    <cellStyle name="Обычный 25 3 26 2" xfId="3249"/>
    <cellStyle name="Обычный 25 3 26 2 2" xfId="5026"/>
    <cellStyle name="Обычный 25 3 26 3" xfId="4138"/>
    <cellStyle name="Обычный 25 3 27" xfId="2003"/>
    <cellStyle name="Обычный 25 3 27 2" xfId="3262"/>
    <cellStyle name="Обычный 25 3 27 2 2" xfId="5039"/>
    <cellStyle name="Обычный 25 3 27 3" xfId="4151"/>
    <cellStyle name="Обычный 25 3 28" xfId="1972"/>
    <cellStyle name="Обычный 25 3 28 2" xfId="3257"/>
    <cellStyle name="Обычный 25 3 28 2 2" xfId="5034"/>
    <cellStyle name="Обычный 25 3 28 3" xfId="4146"/>
    <cellStyle name="Обычный 25 3 29" xfId="1898"/>
    <cellStyle name="Обычный 25 3 29 2" xfId="3252"/>
    <cellStyle name="Обычный 25 3 29 2 2" xfId="5029"/>
    <cellStyle name="Обычный 25 3 29 3" xfId="4141"/>
    <cellStyle name="Обычный 25 3 3" xfId="1265"/>
    <cellStyle name="Обычный 25 3 3 2" xfId="3221"/>
    <cellStyle name="Обычный 25 3 3 2 2" xfId="4998"/>
    <cellStyle name="Обычный 25 3 3 3" xfId="4110"/>
    <cellStyle name="Обычный 25 3 30" xfId="1279"/>
    <cellStyle name="Обычный 25 3 30 2" xfId="3222"/>
    <cellStyle name="Обычный 25 3 30 2 2" xfId="4999"/>
    <cellStyle name="Обычный 25 3 30 3" xfId="4111"/>
    <cellStyle name="Обычный 25 3 31" xfId="1651"/>
    <cellStyle name="Обычный 25 3 31 2" xfId="3237"/>
    <cellStyle name="Обычный 25 3 31 2 2" xfId="5014"/>
    <cellStyle name="Обычный 25 3 31 3" xfId="4126"/>
    <cellStyle name="Обычный 25 3 32" xfId="1283"/>
    <cellStyle name="Обычный 25 3 32 2" xfId="3223"/>
    <cellStyle name="Обычный 25 3 32 2 2" xfId="5000"/>
    <cellStyle name="Обычный 25 3 32 3" xfId="4112"/>
    <cellStyle name="Обычный 25 3 33" xfId="1990"/>
    <cellStyle name="Обычный 25 3 33 2" xfId="3259"/>
    <cellStyle name="Обычный 25 3 33 2 2" xfId="5036"/>
    <cellStyle name="Обычный 25 3 33 3" xfId="4148"/>
    <cellStyle name="Обычный 25 3 34" xfId="1907"/>
    <cellStyle name="Обычный 25 3 34 2" xfId="3253"/>
    <cellStyle name="Обычный 25 3 34 2 2" xfId="5030"/>
    <cellStyle name="Обычный 25 3 34 3" xfId="4142"/>
    <cellStyle name="Обычный 25 3 35" xfId="2030"/>
    <cellStyle name="Обычный 25 3 35 2" xfId="3266"/>
    <cellStyle name="Обычный 25 3 35 2 2" xfId="5043"/>
    <cellStyle name="Обычный 25 3 35 3" xfId="4155"/>
    <cellStyle name="Обычный 25 3 36" xfId="2117"/>
    <cellStyle name="Обычный 25 3 36 2" xfId="3319"/>
    <cellStyle name="Обычный 25 3 36 2 2" xfId="5096"/>
    <cellStyle name="Обычный 25 3 36 3" xfId="4208"/>
    <cellStyle name="Обычный 25 3 37" xfId="2204"/>
    <cellStyle name="Обычный 25 3 37 2" xfId="3372"/>
    <cellStyle name="Обычный 25 3 37 2 2" xfId="5149"/>
    <cellStyle name="Обычный 25 3 37 3" xfId="4261"/>
    <cellStyle name="Обычный 25 3 38" xfId="2289"/>
    <cellStyle name="Обычный 25 3 38 2" xfId="3425"/>
    <cellStyle name="Обычный 25 3 38 2 2" xfId="5202"/>
    <cellStyle name="Обычный 25 3 38 3" xfId="4314"/>
    <cellStyle name="Обычный 25 3 39" xfId="2373"/>
    <cellStyle name="Обычный 25 3 39 2" xfId="3478"/>
    <cellStyle name="Обычный 25 3 39 2 2" xfId="5255"/>
    <cellStyle name="Обычный 25 3 39 3" xfId="4367"/>
    <cellStyle name="Обычный 25 3 4" xfId="1421"/>
    <cellStyle name="Обычный 25 3 4 2" xfId="3226"/>
    <cellStyle name="Обычный 25 3 4 2 2" xfId="5003"/>
    <cellStyle name="Обычный 25 3 4 3" xfId="4115"/>
    <cellStyle name="Обычный 25 3 40" xfId="2456"/>
    <cellStyle name="Обычный 25 3 40 2" xfId="3531"/>
    <cellStyle name="Обычный 25 3 40 2 2" xfId="5308"/>
    <cellStyle name="Обычный 25 3 40 3" xfId="4420"/>
    <cellStyle name="Обычный 25 3 5" xfId="1449"/>
    <cellStyle name="Обычный 25 3 5 2" xfId="3227"/>
    <cellStyle name="Обычный 25 3 5 2 2" xfId="5004"/>
    <cellStyle name="Обычный 25 3 5 3" xfId="4116"/>
    <cellStyle name="Обычный 25 3 6" xfId="1117"/>
    <cellStyle name="Обычный 25 3 6 2" xfId="3220"/>
    <cellStyle name="Обычный 25 3 6 2 2" xfId="4997"/>
    <cellStyle name="Обычный 25 3 6 3" xfId="4109"/>
    <cellStyle name="Обычный 25 3 7" xfId="1505"/>
    <cellStyle name="Обычный 25 3 7 2" xfId="3230"/>
    <cellStyle name="Обычный 25 3 7 2 2" xfId="5007"/>
    <cellStyle name="Обычный 25 3 7 3" xfId="4119"/>
    <cellStyle name="Обычный 25 3 8" xfId="1324"/>
    <cellStyle name="Обычный 25 3 8 2" xfId="3225"/>
    <cellStyle name="Обычный 25 3 8 2 2" xfId="5002"/>
    <cellStyle name="Обычный 25 3 8 3" xfId="4114"/>
    <cellStyle name="Обычный 25 3 9" xfId="1563"/>
    <cellStyle name="Обычный 25 3 9 2" xfId="3232"/>
    <cellStyle name="Обычный 25 3 9 2 2" xfId="5009"/>
    <cellStyle name="Обычный 25 3 9 3" xfId="4121"/>
    <cellStyle name="Обычный 25 30" xfId="1298"/>
    <cellStyle name="Обычный 25 31" xfId="1566"/>
    <cellStyle name="Обычный 25 32" xfId="1453"/>
    <cellStyle name="Обычный 25 33" xfId="1623"/>
    <cellStyle name="Обычный 25 34" xfId="1510"/>
    <cellStyle name="Обычный 25 35" xfId="1678"/>
    <cellStyle name="Обычный 25 36" xfId="1567"/>
    <cellStyle name="Обычный 25 37" xfId="1734"/>
    <cellStyle name="Обычный 25 38" xfId="1624"/>
    <cellStyle name="Обычный 25 39" xfId="1782"/>
    <cellStyle name="Обычный 25 4" xfId="916"/>
    <cellStyle name="Обычный 25 4 2" xfId="3172"/>
    <cellStyle name="Обычный 25 4 2 2" xfId="4949"/>
    <cellStyle name="Обычный 25 4 3" xfId="4061"/>
    <cellStyle name="Обычный 25 40" xfId="1413"/>
    <cellStyle name="Обычный 25 41" xfId="907"/>
    <cellStyle name="Обычный 25 42" xfId="1549"/>
    <cellStyle name="Обычный 25 43" xfId="1906"/>
    <cellStyle name="Обычный 25 44" xfId="2002"/>
    <cellStyle name="Обычный 25 45" xfId="1738"/>
    <cellStyle name="Обычный 25 46" xfId="1900"/>
    <cellStyle name="Обычный 25 47" xfId="2026"/>
    <cellStyle name="Обычный 25 48" xfId="2113"/>
    <cellStyle name="Обычный 25 49" xfId="2200"/>
    <cellStyle name="Обычный 25 5" xfId="952"/>
    <cellStyle name="Обычный 25 5 2" xfId="3180"/>
    <cellStyle name="Обычный 25 5 2 2" xfId="4957"/>
    <cellStyle name="Обычный 25 5 3" xfId="4069"/>
    <cellStyle name="Обычный 25 50" xfId="2286"/>
    <cellStyle name="Обычный 25 51" xfId="2370"/>
    <cellStyle name="Обычный 25 52" xfId="2454"/>
    <cellStyle name="Обычный 25 53" xfId="618"/>
    <cellStyle name="Обычный 25 53 2" xfId="3139"/>
    <cellStyle name="Обычный 25 53 2 2" xfId="4916"/>
    <cellStyle name="Обычный 25 53 3" xfId="4028"/>
    <cellStyle name="Обычный 25 6" xfId="969"/>
    <cellStyle name="Обычный 25 6 2" xfId="3184"/>
    <cellStyle name="Обычный 25 6 2 2" xfId="4961"/>
    <cellStyle name="Обычный 25 6 3" xfId="4073"/>
    <cellStyle name="Обычный 25 7" xfId="986"/>
    <cellStyle name="Обычный 25 7 2" xfId="3188"/>
    <cellStyle name="Обычный 25 7 2 2" xfId="4965"/>
    <cellStyle name="Обычный 25 7 3" xfId="4077"/>
    <cellStyle name="Обычный 25 8" xfId="1002"/>
    <cellStyle name="Обычный 25 8 2" xfId="3192"/>
    <cellStyle name="Обычный 25 8 2 2" xfId="4969"/>
    <cellStyle name="Обычный 25 8 3" xfId="4081"/>
    <cellStyle name="Обычный 25 9" xfId="1018"/>
    <cellStyle name="Обычный 25 9 2" xfId="3196"/>
    <cellStyle name="Обычный 25 9 2 2" xfId="4973"/>
    <cellStyle name="Обычный 25 9 3" xfId="4085"/>
    <cellStyle name="Обычный 26" xfId="179"/>
    <cellStyle name="Обычный 26 2" xfId="180"/>
    <cellStyle name="Обычный 26 3" xfId="181"/>
    <cellStyle name="Обычный 26 4" xfId="848"/>
    <cellStyle name="Обычный 27" xfId="5"/>
    <cellStyle name="Обычный 27 2" xfId="930"/>
    <cellStyle name="Обычный 28" xfId="182"/>
    <cellStyle name="Обычный 28 2" xfId="183"/>
    <cellStyle name="Обычный 28 3" xfId="927"/>
    <cellStyle name="Обычный 29" xfId="936"/>
    <cellStyle name="Обычный 3" xfId="184"/>
    <cellStyle name="Обычный 3 2" xfId="185"/>
    <cellStyle name="Обычный 3 3" xfId="186"/>
    <cellStyle name="Обычный 3 4" xfId="263"/>
    <cellStyle name="Обычный 30" xfId="621"/>
    <cellStyle name="Обычный 30 2" xfId="3141"/>
    <cellStyle name="Обычный 30 2 2" xfId="4918"/>
    <cellStyle name="Обычный 30 3" xfId="4030"/>
    <cellStyle name="Обычный 31" xfId="622"/>
    <cellStyle name="Обычный 31 2" xfId="3142"/>
    <cellStyle name="Обычный 31 2 2" xfId="4919"/>
    <cellStyle name="Обычный 31 3" xfId="4031"/>
    <cellStyle name="Обычный 32" xfId="918"/>
    <cellStyle name="Обычный 33" xfId="913"/>
    <cellStyle name="Обычный 34" xfId="929"/>
    <cellStyle name="Обычный 35" xfId="931"/>
    <cellStyle name="Обычный 36" xfId="715"/>
    <cellStyle name="Обычный 37" xfId="721"/>
    <cellStyle name="Обычный 38" xfId="726"/>
    <cellStyle name="Обычный 39" xfId="732"/>
    <cellStyle name="Обычный 4" xfId="187"/>
    <cellStyle name="Обычный 4 10" xfId="671"/>
    <cellStyle name="Обычный 4 10 10" xfId="1061"/>
    <cellStyle name="Обычный 4 10 11" xfId="1075"/>
    <cellStyle name="Обычный 4 10 12" xfId="1089"/>
    <cellStyle name="Обычный 4 10 13" xfId="1103"/>
    <cellStyle name="Обычный 4 10 14" xfId="1112"/>
    <cellStyle name="Обычный 4 10 15" xfId="1131"/>
    <cellStyle name="Обычный 4 10 16" xfId="1375"/>
    <cellStyle name="Обычный 4 10 17" xfId="1220"/>
    <cellStyle name="Обычный 4 10 18" xfId="1439"/>
    <cellStyle name="Обычный 4 10 19" xfId="1222"/>
    <cellStyle name="Обычный 4 10 2" xfId="760"/>
    <cellStyle name="Обычный 4 10 2 10" xfId="1493"/>
    <cellStyle name="Обычный 4 10 2 11" xfId="1416"/>
    <cellStyle name="Обычный 4 10 2 12" xfId="1551"/>
    <cellStyle name="Обычный 4 10 2 13" xfId="1288"/>
    <cellStyle name="Обычный 4 10 2 14" xfId="1608"/>
    <cellStyle name="Обычный 4 10 2 15" xfId="1301"/>
    <cellStyle name="Обычный 4 10 2 16" xfId="1664"/>
    <cellStyle name="Обычный 4 10 2 17" xfId="1248"/>
    <cellStyle name="Обычный 4 10 2 18" xfId="1719"/>
    <cellStyle name="Обычный 4 10 2 19" xfId="1201"/>
    <cellStyle name="Обычный 4 10 2 2" xfId="904"/>
    <cellStyle name="Обычный 4 10 2 20" xfId="1769"/>
    <cellStyle name="Обычный 4 10 2 21" xfId="1402"/>
    <cellStyle name="Обычный 4 10 2 22" xfId="1818"/>
    <cellStyle name="Обычный 4 10 2 23" xfId="1352"/>
    <cellStyle name="Обычный 4 10 2 24" xfId="1872"/>
    <cellStyle name="Обычный 4 10 2 25" xfId="1367"/>
    <cellStyle name="Обычный 4 10 2 26" xfId="1915"/>
    <cellStyle name="Обычный 4 10 2 27" xfId="1174"/>
    <cellStyle name="Обычный 4 10 2 28" xfId="1866"/>
    <cellStyle name="Обычный 4 10 2 29" xfId="2044"/>
    <cellStyle name="Обычный 4 10 2 3" xfId="1252"/>
    <cellStyle name="Обычный 4 10 2 30" xfId="2131"/>
    <cellStyle name="Обычный 4 10 2 31" xfId="2217"/>
    <cellStyle name="Обычный 4 10 2 32" xfId="2301"/>
    <cellStyle name="Обычный 4 10 2 33" xfId="2385"/>
    <cellStyle name="Обычный 4 10 2 34" xfId="2468"/>
    <cellStyle name="Обычный 4 10 2 35" xfId="2549"/>
    <cellStyle name="Обычный 4 10 2 36" xfId="2629"/>
    <cellStyle name="Обычный 4 10 2 37" xfId="2704"/>
    <cellStyle name="Обычный 4 10 2 38" xfId="2776"/>
    <cellStyle name="Обычный 4 10 2 39" xfId="2846"/>
    <cellStyle name="Обычный 4 10 2 4" xfId="1356"/>
    <cellStyle name="Обычный 4 10 2 40" xfId="2915"/>
    <cellStyle name="Обычный 4 10 2 5" xfId="687"/>
    <cellStyle name="Обычный 4 10 2 6" xfId="1177"/>
    <cellStyle name="Обычный 4 10 2 7" xfId="1358"/>
    <cellStyle name="Обычный 4 10 2 8" xfId="1437"/>
    <cellStyle name="Обычный 4 10 2 9" xfId="1412"/>
    <cellStyle name="Обычный 4 10 20" xfId="1495"/>
    <cellStyle name="Обычный 4 10 21" xfId="1360"/>
    <cellStyle name="Обычный 4 10 22" xfId="1553"/>
    <cellStyle name="Обычный 4 10 23" xfId="1237"/>
    <cellStyle name="Обычный 4 10 24" xfId="1610"/>
    <cellStyle name="Обычный 4 10 25" xfId="1404"/>
    <cellStyle name="Обычный 4 10 26" xfId="1666"/>
    <cellStyle name="Обычный 4 10 27" xfId="1173"/>
    <cellStyle name="Обычный 4 10 28" xfId="1721"/>
    <cellStyle name="Обычный 4 10 29" xfId="1446"/>
    <cellStyle name="Обычный 4 10 3" xfId="946"/>
    <cellStyle name="Обычный 4 10 30" xfId="1771"/>
    <cellStyle name="Обычный 4 10 31" xfId="1502"/>
    <cellStyle name="Обычный 4 10 32" xfId="1820"/>
    <cellStyle name="Обычный 4 10 33" xfId="1560"/>
    <cellStyle name="Обычный 4 10 34" xfId="1874"/>
    <cellStyle name="Обычный 4 10 35" xfId="1616"/>
    <cellStyle name="Обычный 4 10 36" xfId="1917"/>
    <cellStyle name="Обычный 4 10 37" xfId="1672"/>
    <cellStyle name="Обычный 4 10 38" xfId="1963"/>
    <cellStyle name="Обычный 4 10 39" xfId="1727"/>
    <cellStyle name="Обычный 4 10 4" xfId="963"/>
    <cellStyle name="Обычный 4 10 40" xfId="1991"/>
    <cellStyle name="Обычный 4 10 41" xfId="2016"/>
    <cellStyle name="Обычный 4 10 42" xfId="2029"/>
    <cellStyle name="Обычный 4 10 43" xfId="2116"/>
    <cellStyle name="Обычный 4 10 44" xfId="2203"/>
    <cellStyle name="Обычный 4 10 45" xfId="2288"/>
    <cellStyle name="Обычный 4 10 46" xfId="2372"/>
    <cellStyle name="Обычный 4 10 47" xfId="2455"/>
    <cellStyle name="Обычный 4 10 48" xfId="2537"/>
    <cellStyle name="Обычный 4 10 49" xfId="2618"/>
    <cellStyle name="Обычный 4 10 5" xfId="980"/>
    <cellStyle name="Обычный 4 10 50" xfId="2696"/>
    <cellStyle name="Обычный 4 10 51" xfId="2771"/>
    <cellStyle name="Обычный 4 10 52" xfId="2841"/>
    <cellStyle name="Обычный 4 10 6" xfId="997"/>
    <cellStyle name="Обычный 4 10 7" xfId="1013"/>
    <cellStyle name="Обычный 4 10 8" xfId="1029"/>
    <cellStyle name="Обычный 4 10 9" xfId="1045"/>
    <cellStyle name="Обычный 4 11" xfId="674"/>
    <cellStyle name="Обычный 4 11 10" xfId="1063"/>
    <cellStyle name="Обычный 4 11 11" xfId="1077"/>
    <cellStyle name="Обычный 4 11 12" xfId="1091"/>
    <cellStyle name="Обычный 4 11 13" xfId="1105"/>
    <cellStyle name="Обычный 4 11 14" xfId="1113"/>
    <cellStyle name="Обычный 4 11 15" xfId="1135"/>
    <cellStyle name="Обычный 4 11 16" xfId="1137"/>
    <cellStyle name="Обычный 4 11 17" xfId="1128"/>
    <cellStyle name="Обычный 4 11 18" xfId="1400"/>
    <cellStyle name="Обычный 4 11 19" xfId="1371"/>
    <cellStyle name="Обычный 4 11 2" xfId="766"/>
    <cellStyle name="Обычный 4 11 2 10" xfId="1586"/>
    <cellStyle name="Обычный 4 11 2 11" xfId="1550"/>
    <cellStyle name="Обычный 4 11 2 12" xfId="1640"/>
    <cellStyle name="Обычный 4 11 2 13" xfId="1607"/>
    <cellStyle name="Обычный 4 11 2 14" xfId="1695"/>
    <cellStyle name="Обычный 4 11 2 15" xfId="1663"/>
    <cellStyle name="Обычный 4 11 2 16" xfId="1752"/>
    <cellStyle name="Обычный 4 11 2 17" xfId="1718"/>
    <cellStyle name="Обычный 4 11 2 18" xfId="1800"/>
    <cellStyle name="Обычный 4 11 2 19" xfId="1768"/>
    <cellStyle name="Обычный 4 11 2 2" xfId="905"/>
    <cellStyle name="Обычный 4 11 2 20" xfId="1850"/>
    <cellStyle name="Обычный 4 11 2 21" xfId="1817"/>
    <cellStyle name="Обычный 4 11 2 22" xfId="1894"/>
    <cellStyle name="Обычный 4 11 2 23" xfId="1871"/>
    <cellStyle name="Обычный 4 11 2 24" xfId="1942"/>
    <cellStyle name="Обычный 4 11 2 25" xfId="1914"/>
    <cellStyle name="Обычный 4 11 2 26" xfId="1983"/>
    <cellStyle name="Обычный 4 11 2 27" xfId="1961"/>
    <cellStyle name="Обычный 4 11 2 28" xfId="1822"/>
    <cellStyle name="Обычный 4 11 2 29" xfId="2021"/>
    <cellStyle name="Обычный 4 11 2 3" xfId="1255"/>
    <cellStyle name="Обычный 4 11 2 30" xfId="1918"/>
    <cellStyle name="Обычный 4 11 2 31" xfId="1992"/>
    <cellStyle name="Обычный 4 11 2 32" xfId="2031"/>
    <cellStyle name="Обычный 4 11 2 33" xfId="2118"/>
    <cellStyle name="Обычный 4 11 2 34" xfId="2205"/>
    <cellStyle name="Обычный 4 11 2 35" xfId="2290"/>
    <cellStyle name="Обычный 4 11 2 36" xfId="2374"/>
    <cellStyle name="Обычный 4 11 2 37" xfId="2457"/>
    <cellStyle name="Обычный 4 11 2 38" xfId="2538"/>
    <cellStyle name="Обычный 4 11 2 39" xfId="2619"/>
    <cellStyle name="Обычный 4 11 2 4" xfId="1320"/>
    <cellStyle name="Обычный 4 11 2 40" xfId="2697"/>
    <cellStyle name="Обычный 4 11 2 5" xfId="1202"/>
    <cellStyle name="Обычный 4 11 2 6" xfId="1469"/>
    <cellStyle name="Обычный 4 11 2 7" xfId="1436"/>
    <cellStyle name="Обычный 4 11 2 8" xfId="1526"/>
    <cellStyle name="Обычный 4 11 2 9" xfId="1492"/>
    <cellStyle name="Обычный 4 11 20" xfId="874"/>
    <cellStyle name="Обычный 4 11 21" xfId="1144"/>
    <cellStyle name="Обычный 4 11 22" xfId="896"/>
    <cellStyle name="Обычный 4 11 23" xfId="1209"/>
    <cellStyle name="Обычный 4 11 24" xfId="1411"/>
    <cellStyle name="Обычный 4 11 25" xfId="912"/>
    <cellStyle name="Обычный 4 11 26" xfId="1322"/>
    <cellStyle name="Обычный 4 11 27" xfId="1275"/>
    <cellStyle name="Обычный 4 11 28" xfId="1470"/>
    <cellStyle name="Обычный 4 11 29" xfId="1357"/>
    <cellStyle name="Обычный 4 11 3" xfId="948"/>
    <cellStyle name="Обычный 4 11 30" xfId="1527"/>
    <cellStyle name="Обычный 4 11 31" xfId="1342"/>
    <cellStyle name="Обычный 4 11 32" xfId="1587"/>
    <cellStyle name="Обычный 4 11 33" xfId="1432"/>
    <cellStyle name="Обычный 4 11 34" xfId="1641"/>
    <cellStyle name="Обычный 4 11 35" xfId="1488"/>
    <cellStyle name="Обычный 4 11 36" xfId="1696"/>
    <cellStyle name="Обычный 4 11 37" xfId="1546"/>
    <cellStyle name="Обычный 4 11 38" xfId="1753"/>
    <cellStyle name="Обычный 4 11 39" xfId="1604"/>
    <cellStyle name="Обычный 4 11 4" xfId="965"/>
    <cellStyle name="Обычный 4 11 40" xfId="1881"/>
    <cellStyle name="Обычный 4 11 41" xfId="1314"/>
    <cellStyle name="Обычный 4 11 42" xfId="2010"/>
    <cellStyle name="Обычный 4 11 43" xfId="2018"/>
    <cellStyle name="Обычный 4 11 44" xfId="1976"/>
    <cellStyle name="Обычный 4 11 45" xfId="1855"/>
    <cellStyle name="Обычный 4 11 46" xfId="1435"/>
    <cellStyle name="Обычный 4 11 47" xfId="1206"/>
    <cellStyle name="Обычный 4 11 48" xfId="1884"/>
    <cellStyle name="Обычный 4 11 49" xfId="1998"/>
    <cellStyle name="Обычный 4 11 5" xfId="982"/>
    <cellStyle name="Обычный 4 11 50" xfId="2040"/>
    <cellStyle name="Обычный 4 11 51" xfId="2127"/>
    <cellStyle name="Обычный 4 11 52" xfId="2213"/>
    <cellStyle name="Обычный 4 11 6" xfId="999"/>
    <cellStyle name="Обычный 4 11 7" xfId="1015"/>
    <cellStyle name="Обычный 4 11 8" xfId="1031"/>
    <cellStyle name="Обычный 4 11 9" xfId="1047"/>
    <cellStyle name="Обычный 4 12" xfId="677"/>
    <cellStyle name="Обычный 4 12 10" xfId="1064"/>
    <cellStyle name="Обычный 4 12 11" xfId="1078"/>
    <cellStyle name="Обычный 4 12 12" xfId="1092"/>
    <cellStyle name="Обычный 4 12 13" xfId="1106"/>
    <cellStyle name="Обычный 4 12 14" xfId="1114"/>
    <cellStyle name="Обычный 4 12 15" xfId="1141"/>
    <cellStyle name="Обычный 4 12 16" xfId="1366"/>
    <cellStyle name="Обычный 4 12 17" xfId="1242"/>
    <cellStyle name="Обычный 4 12 18" xfId="1401"/>
    <cellStyle name="Обычный 4 12 19" xfId="1166"/>
    <cellStyle name="Обычный 4 12 2" xfId="772"/>
    <cellStyle name="Обычный 4 12 2 10" xfId="1164"/>
    <cellStyle name="Обычный 4 12 2 11" xfId="1620"/>
    <cellStyle name="Обычный 4 12 2 12" xfId="1447"/>
    <cellStyle name="Обычный 4 12 2 13" xfId="1676"/>
    <cellStyle name="Обычный 4 12 2 14" xfId="1503"/>
    <cellStyle name="Обычный 4 12 2 15" xfId="1731"/>
    <cellStyle name="Обычный 4 12 2 16" xfId="1561"/>
    <cellStyle name="Обычный 4 12 2 17" xfId="1780"/>
    <cellStyle name="Обычный 4 12 2 18" xfId="1617"/>
    <cellStyle name="Обычный 4 12 2 19" xfId="1828"/>
    <cellStyle name="Обычный 4 12 2 2" xfId="908"/>
    <cellStyle name="Обычный 4 12 2 20" xfId="1673"/>
    <cellStyle name="Обычный 4 12 2 21" xfId="1878"/>
    <cellStyle name="Обычный 4 12 2 22" xfId="1728"/>
    <cellStyle name="Обычный 4 12 2 23" xfId="1923"/>
    <cellStyle name="Обычный 4 12 2 24" xfId="1777"/>
    <cellStyle name="Обычный 4 12 2 25" xfId="1968"/>
    <cellStyle name="Обычный 4 12 2 26" xfId="1825"/>
    <cellStyle name="Обычный 4 12 2 27" xfId="2004"/>
    <cellStyle name="Обычный 4 12 2 28" xfId="1974"/>
    <cellStyle name="Обычный 4 12 2 29" xfId="1788"/>
    <cellStyle name="Обычный 4 12 2 3" xfId="1256"/>
    <cellStyle name="Обычный 4 12 2 30" xfId="1930"/>
    <cellStyle name="Обычный 4 12 2 31" xfId="1984"/>
    <cellStyle name="Обычный 4 12 2 32" xfId="1787"/>
    <cellStyle name="Обычный 4 12 2 33" xfId="1861"/>
    <cellStyle name="Обычный 4 12 2 34" xfId="1851"/>
    <cellStyle name="Обычный 4 12 2 35" xfId="1919"/>
    <cellStyle name="Обычный 4 12 2 36" xfId="1627"/>
    <cellStyle name="Обычный 4 12 2 37" xfId="1936"/>
    <cellStyle name="Обычный 4 12 2 38" xfId="1985"/>
    <cellStyle name="Обычный 4 12 2 39" xfId="1570"/>
    <cellStyle name="Обычный 4 12 2 4" xfId="1422"/>
    <cellStyle name="Обычный 4 12 2 40" xfId="1945"/>
    <cellStyle name="Обычный 4 12 2 5" xfId="1450"/>
    <cellStyle name="Обычный 4 12 2 6" xfId="1197"/>
    <cellStyle name="Обычный 4 12 2 7" xfId="1506"/>
    <cellStyle name="Обычный 4 12 2 8" xfId="1205"/>
    <cellStyle name="Обычный 4 12 2 9" xfId="1564"/>
    <cellStyle name="Обычный 4 12 20" xfId="906"/>
    <cellStyle name="Обычный 4 12 21" xfId="888"/>
    <cellStyle name="Обычный 4 12 22" xfId="1182"/>
    <cellStyle name="Обычный 4 12 23" xfId="1359"/>
    <cellStyle name="Обычный 4 12 24" xfId="1445"/>
    <cellStyle name="Обычный 4 12 25" xfId="1341"/>
    <cellStyle name="Обычный 4 12 26" xfId="1501"/>
    <cellStyle name="Обычный 4 12 27" xfId="1245"/>
    <cellStyle name="Обычный 4 12 28" xfId="1559"/>
    <cellStyle name="Обычный 4 12 29" xfId="1269"/>
    <cellStyle name="Обычный 4 12 3" xfId="950"/>
    <cellStyle name="Обычный 4 12 30" xfId="1615"/>
    <cellStyle name="Обычный 4 12 31" xfId="1183"/>
    <cellStyle name="Обычный 4 12 32" xfId="1671"/>
    <cellStyle name="Обычный 4 12 33" xfId="1247"/>
    <cellStyle name="Обычный 4 12 34" xfId="1726"/>
    <cellStyle name="Обычный 4 12 35" xfId="867"/>
    <cellStyle name="Обычный 4 12 36" xfId="1776"/>
    <cellStyle name="Обычный 4 12 37" xfId="1399"/>
    <cellStyle name="Обычный 4 12 38" xfId="1824"/>
    <cellStyle name="Обычный 4 12 39" xfId="1168"/>
    <cellStyle name="Обычный 4 12 4" xfId="967"/>
    <cellStyle name="Обычный 4 12 40" xfId="1956"/>
    <cellStyle name="Обычный 4 12 41" xfId="2033"/>
    <cellStyle name="Обычный 4 12 42" xfId="2120"/>
    <cellStyle name="Обычный 4 12 43" xfId="2207"/>
    <cellStyle name="Обычный 4 12 44" xfId="2292"/>
    <cellStyle name="Обычный 4 12 45" xfId="2376"/>
    <cellStyle name="Обычный 4 12 46" xfId="2459"/>
    <cellStyle name="Обычный 4 12 47" xfId="2540"/>
    <cellStyle name="Обычный 4 12 48" xfId="2621"/>
    <cellStyle name="Обычный 4 12 49" xfId="2699"/>
    <cellStyle name="Обычный 4 12 5" xfId="984"/>
    <cellStyle name="Обычный 4 12 50" xfId="2773"/>
    <cellStyle name="Обычный 4 12 51" xfId="2843"/>
    <cellStyle name="Обычный 4 12 52" xfId="2912"/>
    <cellStyle name="Обычный 4 12 6" xfId="1000"/>
    <cellStyle name="Обычный 4 12 7" xfId="1016"/>
    <cellStyle name="Обычный 4 12 8" xfId="1032"/>
    <cellStyle name="Обычный 4 12 9" xfId="1048"/>
    <cellStyle name="Обычный 4 13" xfId="680"/>
    <cellStyle name="Обычный 4 13 10" xfId="1066"/>
    <cellStyle name="Обычный 4 13 11" xfId="1080"/>
    <cellStyle name="Обычный 4 13 12" xfId="1094"/>
    <cellStyle name="Обычный 4 13 13" xfId="1107"/>
    <cellStyle name="Обычный 4 13 14" xfId="1115"/>
    <cellStyle name="Обычный 4 13 15" xfId="1146"/>
    <cellStyle name="Обычный 4 13 16" xfId="1287"/>
    <cellStyle name="Обычный 4 13 17" xfId="1293"/>
    <cellStyle name="Обычный 4 13 18" xfId="1372"/>
    <cellStyle name="Обычный 4 13 19" xfId="1349"/>
    <cellStyle name="Обычный 4 13 2" xfId="778"/>
    <cellStyle name="Обычный 4 13 2 10" xfId="1382"/>
    <cellStyle name="Обычный 4 13 2 11" xfId="1317"/>
    <cellStyle name="Обычный 4 13 2 12" xfId="1226"/>
    <cellStyle name="Обычный 4 13 2 13" xfId="1466"/>
    <cellStyle name="Обычный 4 13 2 14" xfId="717"/>
    <cellStyle name="Обычный 4 13 2 15" xfId="1522"/>
    <cellStyle name="Обычный 4 13 2 16" xfId="1321"/>
    <cellStyle name="Обычный 4 13 2 17" xfId="1583"/>
    <cellStyle name="Обычный 4 13 2 18" xfId="1327"/>
    <cellStyle name="Обычный 4 13 2 19" xfId="1636"/>
    <cellStyle name="Обычный 4 13 2 2" xfId="911"/>
    <cellStyle name="Обычный 4 13 2 20" xfId="1473"/>
    <cellStyle name="Обычный 4 13 2 21" xfId="1692"/>
    <cellStyle name="Обычный 4 13 2 22" xfId="1530"/>
    <cellStyle name="Обычный 4 13 2 23" xfId="1749"/>
    <cellStyle name="Обычный 4 13 2 24" xfId="1590"/>
    <cellStyle name="Обычный 4 13 2 25" xfId="1797"/>
    <cellStyle name="Обычный 4 13 2 26" xfId="1644"/>
    <cellStyle name="Обычный 4 13 2 27" xfId="1846"/>
    <cellStyle name="Обычный 4 13 2 28" xfId="1712"/>
    <cellStyle name="Обычный 4 13 2 29" xfId="1353"/>
    <cellStyle name="Обычный 4 13 2 3" xfId="1258"/>
    <cellStyle name="Обычный 4 13 2 30" xfId="1778"/>
    <cellStyle name="Обычный 4 13 2 31" xfId="1302"/>
    <cellStyle name="Обычный 4 13 2 32" xfId="1836"/>
    <cellStyle name="Обычный 4 13 2 33" xfId="2042"/>
    <cellStyle name="Обычный 4 13 2 34" xfId="2129"/>
    <cellStyle name="Обычный 4 13 2 35" xfId="2215"/>
    <cellStyle name="Обычный 4 13 2 36" xfId="2299"/>
    <cellStyle name="Обычный 4 13 2 37" xfId="2383"/>
    <cellStyle name="Обычный 4 13 2 38" xfId="2466"/>
    <cellStyle name="Обычный 4 13 2 39" xfId="2547"/>
    <cellStyle name="Обычный 4 13 2 4" xfId="1391"/>
    <cellStyle name="Обычный 4 13 2 40" xfId="2627"/>
    <cellStyle name="Обычный 4 13 2 5" xfId="1175"/>
    <cellStyle name="Обычный 4 13 2 6" xfId="1361"/>
    <cellStyle name="Обычный 4 13 2 7" xfId="1333"/>
    <cellStyle name="Обычный 4 13 2 8" xfId="1142"/>
    <cellStyle name="Обычный 4 13 2 9" xfId="1203"/>
    <cellStyle name="Обычный 4 13 20" xfId="1363"/>
    <cellStyle name="Обычный 4 13 21" xfId="1295"/>
    <cellStyle name="Обычный 4 13 22" xfId="1304"/>
    <cellStyle name="Обычный 4 13 23" xfId="1429"/>
    <cellStyle name="Обычный 4 13 24" xfId="1458"/>
    <cellStyle name="Обычный 4 13 25" xfId="1484"/>
    <cellStyle name="Обычный 4 13 26" xfId="1514"/>
    <cellStyle name="Обычный 4 13 27" xfId="1542"/>
    <cellStyle name="Обычный 4 13 28" xfId="1574"/>
    <cellStyle name="Обычный 4 13 29" xfId="1600"/>
    <cellStyle name="Обычный 4 13 3" xfId="953"/>
    <cellStyle name="Обычный 4 13 30" xfId="1628"/>
    <cellStyle name="Обычный 4 13 31" xfId="1656"/>
    <cellStyle name="Обычный 4 13 32" xfId="1683"/>
    <cellStyle name="Обычный 4 13 33" xfId="1711"/>
    <cellStyle name="Обычный 4 13 34" xfId="1740"/>
    <cellStyle name="Обычный 4 13 35" xfId="1764"/>
    <cellStyle name="Обычный 4 13 36" xfId="1789"/>
    <cellStyle name="Обычный 4 13 37" xfId="1812"/>
    <cellStyle name="Обычный 4 13 38" xfId="1838"/>
    <cellStyle name="Обычный 4 13 39" xfId="1864"/>
    <cellStyle name="Обычный 4 13 4" xfId="970"/>
    <cellStyle name="Обычный 4 13 40" xfId="1491"/>
    <cellStyle name="Обычный 4 13 41" xfId="1957"/>
    <cellStyle name="Обычный 4 13 42" xfId="1921"/>
    <cellStyle name="Обычный 4 13 43" xfId="1156"/>
    <cellStyle name="Обычный 4 13 44" xfId="1808"/>
    <cellStyle name="Обычный 4 13 45" xfId="1707"/>
    <cellStyle name="Обычный 4 13 46" xfId="2000"/>
    <cellStyle name="Обычный 4 13 47" xfId="1948"/>
    <cellStyle name="Обычный 4 13 48" xfId="1425"/>
    <cellStyle name="Обычный 4 13 49" xfId="1913"/>
    <cellStyle name="Обычный 4 13 5" xfId="987"/>
    <cellStyle name="Обычный 4 13 50" xfId="1904"/>
    <cellStyle name="Обычный 4 13 51" xfId="1832"/>
    <cellStyle name="Обычный 4 13 52" xfId="1161"/>
    <cellStyle name="Обычный 4 13 6" xfId="1003"/>
    <cellStyle name="Обычный 4 13 7" xfId="1019"/>
    <cellStyle name="Обычный 4 13 8" xfId="1035"/>
    <cellStyle name="Обычный 4 13 9" xfId="1051"/>
    <cellStyle name="Обычный 4 14" xfId="792"/>
    <cellStyle name="Обычный 4 15" xfId="870"/>
    <cellStyle name="Обычный 4 15 2" xfId="3170"/>
    <cellStyle name="Обычный 4 15 2 2" xfId="4947"/>
    <cellStyle name="Обычный 4 15 3" xfId="4059"/>
    <cellStyle name="Обычный 4 16" xfId="923"/>
    <cellStyle name="Обычный 4 16 2" xfId="3175"/>
    <cellStyle name="Обычный 4 16 2 2" xfId="4952"/>
    <cellStyle name="Обычный 4 16 3" xfId="4064"/>
    <cellStyle name="Обычный 4 17" xfId="945"/>
    <cellStyle name="Обычный 4 17 2" xfId="3178"/>
    <cellStyle name="Обычный 4 17 2 2" xfId="4955"/>
    <cellStyle name="Обычный 4 17 3" xfId="4067"/>
    <cellStyle name="Обычный 4 18" xfId="962"/>
    <cellStyle name="Обычный 4 18 2" xfId="3182"/>
    <cellStyle name="Обычный 4 18 2 2" xfId="4959"/>
    <cellStyle name="Обычный 4 18 3" xfId="4071"/>
    <cellStyle name="Обычный 4 19" xfId="979"/>
    <cellStyle name="Обычный 4 19 2" xfId="3186"/>
    <cellStyle name="Обычный 4 19 2 2" xfId="4963"/>
    <cellStyle name="Обычный 4 19 3" xfId="4075"/>
    <cellStyle name="Обычный 4 2" xfId="264"/>
    <cellStyle name="Обычный 4 2 10" xfId="676"/>
    <cellStyle name="Обычный 4 2 10 2" xfId="3163"/>
    <cellStyle name="Обычный 4 2 10 2 2" xfId="4940"/>
    <cellStyle name="Обычный 4 2 10 3" xfId="4052"/>
    <cellStyle name="Обычный 4 2 11" xfId="679"/>
    <cellStyle name="Обычный 4 2 11 2" xfId="3165"/>
    <cellStyle name="Обычный 4 2 11 2 2" xfId="4942"/>
    <cellStyle name="Обычный 4 2 11 3" xfId="4054"/>
    <cellStyle name="Обычный 4 2 12" xfId="682"/>
    <cellStyle name="Обычный 4 2 12 2" xfId="3167"/>
    <cellStyle name="Обычный 4 2 12 2 2" xfId="4944"/>
    <cellStyle name="Обычный 4 2 12 3" xfId="4056"/>
    <cellStyle name="Обычный 4 2 13" xfId="616"/>
    <cellStyle name="Обычный 4 2 14" xfId="3100"/>
    <cellStyle name="Обычный 4 2 2" xfId="357"/>
    <cellStyle name="Обычный 4 2 2 10" xfId="647"/>
    <cellStyle name="Обычный 4 2 2 11" xfId="643"/>
    <cellStyle name="Обычный 4 2 2 12" xfId="632"/>
    <cellStyle name="Обычный 4 2 2 13" xfId="3147"/>
    <cellStyle name="Обычный 4 2 2 13 2" xfId="4924"/>
    <cellStyle name="Обычный 4 2 2 14" xfId="4036"/>
    <cellStyle name="Обычный 4 2 2 15" xfId="645"/>
    <cellStyle name="Обычный 4 2 2 2" xfId="492"/>
    <cellStyle name="Обычный 4 2 2 2 2" xfId="638"/>
    <cellStyle name="Обычный 4 2 2 3" xfId="635"/>
    <cellStyle name="Обычный 4 2 2 4" xfId="636"/>
    <cellStyle name="Обычный 4 2 2 5" xfId="634"/>
    <cellStyle name="Обычный 4 2 2 6" xfId="637"/>
    <cellStyle name="Обычный 4 2 2 7" xfId="627"/>
    <cellStyle name="Обычный 4 2 2 8" xfId="640"/>
    <cellStyle name="Обычный 4 2 2 9" xfId="633"/>
    <cellStyle name="Обычный 4 2 3" xfId="386"/>
    <cellStyle name="Обычный 4 2 3 2" xfId="3149"/>
    <cellStyle name="Обычный 4 2 3 2 2" xfId="4926"/>
    <cellStyle name="Обычный 4 2 3 3" xfId="4038"/>
    <cellStyle name="Обычный 4 2 3 4" xfId="651"/>
    <cellStyle name="Обычный 4 2 4" xfId="655"/>
    <cellStyle name="Обычный 4 2 4 2" xfId="3151"/>
    <cellStyle name="Обычный 4 2 4 2 2" xfId="4928"/>
    <cellStyle name="Обычный 4 2 4 3" xfId="4040"/>
    <cellStyle name="Обычный 4 2 5" xfId="659"/>
    <cellStyle name="Обычный 4 2 5 2" xfId="3153"/>
    <cellStyle name="Обычный 4 2 5 2 2" xfId="4930"/>
    <cellStyle name="Обычный 4 2 5 3" xfId="4042"/>
    <cellStyle name="Обычный 4 2 6" xfId="663"/>
    <cellStyle name="Обычный 4 2 6 2" xfId="3155"/>
    <cellStyle name="Обычный 4 2 6 2 2" xfId="4932"/>
    <cellStyle name="Обычный 4 2 6 3" xfId="4044"/>
    <cellStyle name="Обычный 4 2 7" xfId="667"/>
    <cellStyle name="Обычный 4 2 7 2" xfId="3157"/>
    <cellStyle name="Обычный 4 2 7 2 2" xfId="4934"/>
    <cellStyle name="Обычный 4 2 7 3" xfId="4046"/>
    <cellStyle name="Обычный 4 2 8" xfId="670"/>
    <cellStyle name="Обычный 4 2 8 2" xfId="3159"/>
    <cellStyle name="Обычный 4 2 8 2 2" xfId="4936"/>
    <cellStyle name="Обычный 4 2 8 3" xfId="4048"/>
    <cellStyle name="Обычный 4 2 9" xfId="673"/>
    <cellStyle name="Обычный 4 2 9 2" xfId="3161"/>
    <cellStyle name="Обычный 4 2 9 2 2" xfId="4938"/>
    <cellStyle name="Обычный 4 2 9 3" xfId="4050"/>
    <cellStyle name="Обычный 4 20" xfId="996"/>
    <cellStyle name="Обычный 4 20 2" xfId="3190"/>
    <cellStyle name="Обычный 4 20 2 2" xfId="4967"/>
    <cellStyle name="Обычный 4 20 3" xfId="4079"/>
    <cellStyle name="Обычный 4 21" xfId="1012"/>
    <cellStyle name="Обычный 4 21 2" xfId="3194"/>
    <cellStyle name="Обычный 4 21 2 2" xfId="4971"/>
    <cellStyle name="Обычный 4 21 3" xfId="4083"/>
    <cellStyle name="Обычный 4 22" xfId="1028"/>
    <cellStyle name="Обычный 4 22 2" xfId="3198"/>
    <cellStyle name="Обычный 4 22 2 2" xfId="4975"/>
    <cellStyle name="Обычный 4 22 3" xfId="4087"/>
    <cellStyle name="Обычный 4 23" xfId="1044"/>
    <cellStyle name="Обычный 4 23 2" xfId="3202"/>
    <cellStyle name="Обычный 4 23 2 2" xfId="4979"/>
    <cellStyle name="Обычный 4 23 3" xfId="4091"/>
    <cellStyle name="Обычный 4 24" xfId="1060"/>
    <cellStyle name="Обычный 4 24 2" xfId="3206"/>
    <cellStyle name="Обычный 4 24 2 2" xfId="4983"/>
    <cellStyle name="Обычный 4 24 3" xfId="4095"/>
    <cellStyle name="Обычный 4 25" xfId="1074"/>
    <cellStyle name="Обычный 4 25 2" xfId="3210"/>
    <cellStyle name="Обычный 4 25 2 2" xfId="4987"/>
    <cellStyle name="Обычный 4 25 3" xfId="4099"/>
    <cellStyle name="Обычный 4 26" xfId="1088"/>
    <cellStyle name="Обычный 4 26 2" xfId="3214"/>
    <cellStyle name="Обычный 4 26 2 2" xfId="4991"/>
    <cellStyle name="Обычный 4 26 3" xfId="4103"/>
    <cellStyle name="Обычный 4 27" xfId="1102"/>
    <cellStyle name="Обычный 4 27 2" xfId="3218"/>
    <cellStyle name="Обычный 4 27 2 2" xfId="4995"/>
    <cellStyle name="Обычный 4 27 3" xfId="4107"/>
    <cellStyle name="Обычный 4 28" xfId="1157"/>
    <cellStyle name="Обычный 4 28 10" xfId="2218"/>
    <cellStyle name="Обычный 4 28 10 2" xfId="3375"/>
    <cellStyle name="Обычный 4 28 10 2 2" xfId="5152"/>
    <cellStyle name="Обычный 4 28 10 3" xfId="4264"/>
    <cellStyle name="Обычный 4 28 11" xfId="2302"/>
    <cellStyle name="Обычный 4 28 11 2" xfId="3428"/>
    <cellStyle name="Обычный 4 28 11 2 2" xfId="5205"/>
    <cellStyle name="Обычный 4 28 11 3" xfId="4317"/>
    <cellStyle name="Обычный 4 28 12" xfId="2386"/>
    <cellStyle name="Обычный 4 28 12 2" xfId="3481"/>
    <cellStyle name="Обычный 4 28 12 2 2" xfId="5258"/>
    <cellStyle name="Обычный 4 28 12 3" xfId="4370"/>
    <cellStyle name="Обычный 4 28 13" xfId="2469"/>
    <cellStyle name="Обычный 4 28 13 2" xfId="3534"/>
    <cellStyle name="Обычный 4 28 13 2 2" xfId="5311"/>
    <cellStyle name="Обычный 4 28 13 3" xfId="4423"/>
    <cellStyle name="Обычный 4 28 14" xfId="2550"/>
    <cellStyle name="Обычный 4 28 14 2" xfId="3586"/>
    <cellStyle name="Обычный 4 28 14 2 2" xfId="5363"/>
    <cellStyle name="Обычный 4 28 14 3" xfId="4475"/>
    <cellStyle name="Обычный 4 28 2" xfId="1977"/>
    <cellStyle name="Обычный 4 28 2 2" xfId="3258"/>
    <cellStyle name="Обычный 4 28 2 2 2" xfId="5035"/>
    <cellStyle name="Обычный 4 28 2 3" xfId="4147"/>
    <cellStyle name="Обычный 4 28 3" xfId="1632"/>
    <cellStyle name="Обычный 4 28 3 2" xfId="3236"/>
    <cellStyle name="Обычный 4 28 3 2 2" xfId="5013"/>
    <cellStyle name="Обычный 4 28 3 3" xfId="4125"/>
    <cellStyle name="Обычный 4 28 4" xfId="1994"/>
    <cellStyle name="Обычный 4 28 4 2" xfId="3260"/>
    <cellStyle name="Обычный 4 28 4 2 2" xfId="5037"/>
    <cellStyle name="Обычный 4 28 4 3" xfId="4149"/>
    <cellStyle name="Обычный 4 28 5" xfId="1774"/>
    <cellStyle name="Обычный 4 28 5 2" xfId="3245"/>
    <cellStyle name="Обычный 4 28 5 2 2" xfId="5022"/>
    <cellStyle name="Обычный 4 28 5 3" xfId="4134"/>
    <cellStyle name="Обычный 4 28 6" xfId="2017"/>
    <cellStyle name="Обычный 4 28 6 2" xfId="3264"/>
    <cellStyle name="Обычный 4 28 6 2 2" xfId="5041"/>
    <cellStyle name="Обычный 4 28 6 3" xfId="4153"/>
    <cellStyle name="Обычный 4 28 7" xfId="1724"/>
    <cellStyle name="Обычный 4 28 7 2" xfId="3242"/>
    <cellStyle name="Обычный 4 28 7 2 2" xfId="5019"/>
    <cellStyle name="Обычный 4 28 7 3" xfId="4131"/>
    <cellStyle name="Обычный 4 28 8" xfId="2045"/>
    <cellStyle name="Обычный 4 28 8 2" xfId="3269"/>
    <cellStyle name="Обычный 4 28 8 2 2" xfId="5046"/>
    <cellStyle name="Обычный 4 28 8 3" xfId="4158"/>
    <cellStyle name="Обычный 4 28 9" xfId="2132"/>
    <cellStyle name="Обычный 4 28 9 2" xfId="3322"/>
    <cellStyle name="Обычный 4 28 9 2 2" xfId="5099"/>
    <cellStyle name="Обычный 4 28 9 3" xfId="4211"/>
    <cellStyle name="Обычный 4 29" xfId="1410"/>
    <cellStyle name="Обычный 4 29 10" xfId="2716"/>
    <cellStyle name="Обычный 4 29 10 2" xfId="3691"/>
    <cellStyle name="Обычный 4 29 10 2 2" xfId="5468"/>
    <cellStyle name="Обычный 4 29 10 3" xfId="4580"/>
    <cellStyle name="Обычный 4 29 11" xfId="2786"/>
    <cellStyle name="Обычный 4 29 11 2" xfId="3740"/>
    <cellStyle name="Обычный 4 29 11 2 2" xfId="5517"/>
    <cellStyle name="Обычный 4 29 11 3" xfId="4629"/>
    <cellStyle name="Обычный 4 29 12" xfId="2856"/>
    <cellStyle name="Обычный 4 29 12 2" xfId="3789"/>
    <cellStyle name="Обычный 4 29 12 2 2" xfId="5566"/>
    <cellStyle name="Обычный 4 29 12 3" xfId="4678"/>
    <cellStyle name="Обычный 4 29 13" xfId="2924"/>
    <cellStyle name="Обычный 4 29 13 2" xfId="3838"/>
    <cellStyle name="Обычный 4 29 13 2 2" xfId="5615"/>
    <cellStyle name="Обычный 4 29 13 3" xfId="4727"/>
    <cellStyle name="Обычный 4 29 14" xfId="2986"/>
    <cellStyle name="Обычный 4 29 14 2" xfId="3887"/>
    <cellStyle name="Обычный 4 29 14 2 2" xfId="5664"/>
    <cellStyle name="Обычный 4 29 14 3" xfId="4776"/>
    <cellStyle name="Обычный 4 29 2" xfId="2058"/>
    <cellStyle name="Обычный 4 29 2 2" xfId="3273"/>
    <cellStyle name="Обычный 4 29 2 2 2" xfId="5050"/>
    <cellStyle name="Обычный 4 29 2 3" xfId="4162"/>
    <cellStyle name="Обычный 4 29 3" xfId="2145"/>
    <cellStyle name="Обычный 4 29 3 2" xfId="3326"/>
    <cellStyle name="Обычный 4 29 3 2 2" xfId="5103"/>
    <cellStyle name="Обычный 4 29 3 3" xfId="4215"/>
    <cellStyle name="Обычный 4 29 4" xfId="2231"/>
    <cellStyle name="Обычный 4 29 4 2" xfId="3379"/>
    <cellStyle name="Обычный 4 29 4 2 2" xfId="5156"/>
    <cellStyle name="Обычный 4 29 4 3" xfId="4268"/>
    <cellStyle name="Обычный 4 29 5" xfId="2315"/>
    <cellStyle name="Обычный 4 29 5 2" xfId="3432"/>
    <cellStyle name="Обычный 4 29 5 2 2" xfId="5209"/>
    <cellStyle name="Обычный 4 29 5 3" xfId="4321"/>
    <cellStyle name="Обычный 4 29 6" xfId="2399"/>
    <cellStyle name="Обычный 4 29 6 2" xfId="3485"/>
    <cellStyle name="Обычный 4 29 6 2 2" xfId="5262"/>
    <cellStyle name="Обычный 4 29 6 3" xfId="4374"/>
    <cellStyle name="Обычный 4 29 7" xfId="2482"/>
    <cellStyle name="Обычный 4 29 7 2" xfId="3538"/>
    <cellStyle name="Обычный 4 29 7 2 2" xfId="5315"/>
    <cellStyle name="Обычный 4 29 7 3" xfId="4427"/>
    <cellStyle name="Обычный 4 29 8" xfId="2563"/>
    <cellStyle name="Обычный 4 29 8 2" xfId="3590"/>
    <cellStyle name="Обычный 4 29 8 2 2" xfId="5367"/>
    <cellStyle name="Обычный 4 29 8 3" xfId="4479"/>
    <cellStyle name="Обычный 4 29 9" xfId="2641"/>
    <cellStyle name="Обычный 4 29 9 2" xfId="3641"/>
    <cellStyle name="Обычный 4 29 9 2 2" xfId="5418"/>
    <cellStyle name="Обычный 4 29 9 3" xfId="4530"/>
    <cellStyle name="Обычный 4 3" xfId="317"/>
    <cellStyle name="Обычный 4 3 10" xfId="1039"/>
    <cellStyle name="Обычный 4 3 11" xfId="1055"/>
    <cellStyle name="Обычный 4 3 12" xfId="1069"/>
    <cellStyle name="Обычный 4 3 13" xfId="1083"/>
    <cellStyle name="Обычный 4 3 14" xfId="1097"/>
    <cellStyle name="Обычный 4 3 15" xfId="889"/>
    <cellStyle name="Обычный 4 3 16" xfId="1140"/>
    <cellStyle name="Обычный 4 3 17" xfId="692"/>
    <cellStyle name="Обычный 4 3 18" xfId="1434"/>
    <cellStyle name="Обычный 4 3 19" xfId="1149"/>
    <cellStyle name="Обычный 4 3 2" xfId="453"/>
    <cellStyle name="Обычный 4 3 2 10" xfId="1423"/>
    <cellStyle name="Обычный 4 3 2 11" xfId="883"/>
    <cellStyle name="Обычный 4 3 2 12" xfId="1194"/>
    <cellStyle name="Обычный 4 3 2 13" xfId="1479"/>
    <cellStyle name="Обычный 4 3 2 14" xfId="1379"/>
    <cellStyle name="Обычный 4 3 2 15" xfId="1536"/>
    <cellStyle name="Обычный 4 3 2 16" xfId="1310"/>
    <cellStyle name="Обычный 4 3 2 17" xfId="1596"/>
    <cellStyle name="Обычный 4 3 2 18" xfId="1132"/>
    <cellStyle name="Обычный 4 3 2 19" xfId="1650"/>
    <cellStyle name="Обычный 4 3 2 2" xfId="872"/>
    <cellStyle name="Обычный 4 3 2 20" xfId="1129"/>
    <cellStyle name="Обычный 4 3 2 21" xfId="1705"/>
    <cellStyle name="Обычный 4 3 2 22" xfId="902"/>
    <cellStyle name="Обычный 4 3 2 23" xfId="1761"/>
    <cellStyle name="Обычный 4 3 2 24" xfId="1408"/>
    <cellStyle name="Обычный 4 3 2 25" xfId="1805"/>
    <cellStyle name="Обычный 4 3 2 26" xfId="1405"/>
    <cellStyle name="Обычный 4 3 2 27" xfId="1859"/>
    <cellStyle name="Обычный 4 3 2 28" xfId="2014"/>
    <cellStyle name="Обычный 4 3 2 29" xfId="1971"/>
    <cellStyle name="Обычный 4 3 2 3" xfId="1216"/>
    <cellStyle name="Обычный 4 3 2 30" xfId="2047"/>
    <cellStyle name="Обычный 4 3 2 31" xfId="2134"/>
    <cellStyle name="Обычный 4 3 2 32" xfId="2220"/>
    <cellStyle name="Обычный 4 3 2 33" xfId="2304"/>
    <cellStyle name="Обычный 4 3 2 34" xfId="2388"/>
    <cellStyle name="Обычный 4 3 2 35" xfId="2471"/>
    <cellStyle name="Обычный 4 3 2 36" xfId="2552"/>
    <cellStyle name="Обычный 4 3 2 37" xfId="2631"/>
    <cellStyle name="Обычный 4 3 2 38" xfId="2706"/>
    <cellStyle name="Обычный 4 3 2 39" xfId="2778"/>
    <cellStyle name="Обычный 4 3 2 4" xfId="1225"/>
    <cellStyle name="Обычный 4 3 2 40" xfId="2848"/>
    <cellStyle name="Обычный 4 3 2 41" xfId="719"/>
    <cellStyle name="Обычный 4 3 2 5" xfId="1257"/>
    <cellStyle name="Обычный 4 3 2 6" xfId="1290"/>
    <cellStyle name="Обычный 4 3 2 7" xfId="1160"/>
    <cellStyle name="Обычный 4 3 2 8" xfId="1417"/>
    <cellStyle name="Обычный 4 3 2 9" xfId="1184"/>
    <cellStyle name="Обычный 4 3 20" xfId="1490"/>
    <cellStyle name="Обычный 4 3 21" xfId="1208"/>
    <cellStyle name="Обычный 4 3 22" xfId="1548"/>
    <cellStyle name="Обычный 4 3 23" xfId="1180"/>
    <cellStyle name="Обычный 4 3 24" xfId="1606"/>
    <cellStyle name="Обычный 4 3 25" xfId="877"/>
    <cellStyle name="Обычный 4 3 26" xfId="1662"/>
    <cellStyle name="Обычный 4 3 27" xfId="1240"/>
    <cellStyle name="Обычный 4 3 28" xfId="1716"/>
    <cellStyle name="Обычный 4 3 29" xfId="1263"/>
    <cellStyle name="Обычный 4 3 3" xfId="925"/>
    <cellStyle name="Обычный 4 3 30" xfId="1767"/>
    <cellStyle name="Обычный 4 3 31" xfId="1196"/>
    <cellStyle name="Обычный 4 3 32" xfId="1815"/>
    <cellStyle name="Обычный 4 3 33" xfId="1213"/>
    <cellStyle name="Обычный 4 3 34" xfId="1870"/>
    <cellStyle name="Обычный 4 3 35" xfId="1281"/>
    <cellStyle name="Обычный 4 3 36" xfId="1912"/>
    <cellStyle name="Обычный 4 3 37" xfId="1316"/>
    <cellStyle name="Обычный 4 3 38" xfId="1960"/>
    <cellStyle name="Обычный 4 3 39" xfId="1318"/>
    <cellStyle name="Обычный 4 3 4" xfId="940"/>
    <cellStyle name="Обычный 4 3 40" xfId="1622"/>
    <cellStyle name="Обычный 4 3 41" xfId="2012"/>
    <cellStyle name="Обычный 4 3 42" xfId="2023"/>
    <cellStyle name="Обычный 4 3 43" xfId="1218"/>
    <cellStyle name="Обычный 4 3 44" xfId="1955"/>
    <cellStyle name="Обычный 4 3 45" xfId="2043"/>
    <cellStyle name="Обычный 4 3 46" xfId="2130"/>
    <cellStyle name="Обычный 4 3 47" xfId="2216"/>
    <cellStyle name="Обычный 4 3 48" xfId="2300"/>
    <cellStyle name="Обычный 4 3 49" xfId="2384"/>
    <cellStyle name="Обычный 4 3 5" xfId="957"/>
    <cellStyle name="Обычный 4 3 50" xfId="2467"/>
    <cellStyle name="Обычный 4 3 51" xfId="2548"/>
    <cellStyle name="Обычный 4 3 52" xfId="2628"/>
    <cellStyle name="Обычный 4 3 53" xfId="628"/>
    <cellStyle name="Обычный 4 3 6" xfId="974"/>
    <cellStyle name="Обычный 4 3 7" xfId="991"/>
    <cellStyle name="Обычный 4 3 8" xfId="1007"/>
    <cellStyle name="Обычный 4 3 9" xfId="1023"/>
    <cellStyle name="Обычный 4 30" xfId="1438"/>
    <cellStyle name="Обычный 4 30 10" xfId="2721"/>
    <cellStyle name="Обычный 4 30 10 2" xfId="3695"/>
    <cellStyle name="Обычный 4 30 10 2 2" xfId="5472"/>
    <cellStyle name="Обычный 4 30 10 3" xfId="4584"/>
    <cellStyle name="Обычный 4 30 11" xfId="2791"/>
    <cellStyle name="Обычный 4 30 11 2" xfId="3744"/>
    <cellStyle name="Обычный 4 30 11 2 2" xfId="5521"/>
    <cellStyle name="Обычный 4 30 11 3" xfId="4633"/>
    <cellStyle name="Обычный 4 30 12" xfId="2861"/>
    <cellStyle name="Обычный 4 30 12 2" xfId="3793"/>
    <cellStyle name="Обычный 4 30 12 2 2" xfId="5570"/>
    <cellStyle name="Обычный 4 30 12 3" xfId="4682"/>
    <cellStyle name="Обычный 4 30 13" xfId="2929"/>
    <cellStyle name="Обычный 4 30 13 2" xfId="3842"/>
    <cellStyle name="Обычный 4 30 13 2 2" xfId="5619"/>
    <cellStyle name="Обычный 4 30 13 3" xfId="4731"/>
    <cellStyle name="Обычный 4 30 14" xfId="2991"/>
    <cellStyle name="Обычный 4 30 14 2" xfId="3891"/>
    <cellStyle name="Обычный 4 30 14 2 2" xfId="5668"/>
    <cellStyle name="Обычный 4 30 14 3" xfId="4780"/>
    <cellStyle name="Обычный 4 30 2" xfId="2063"/>
    <cellStyle name="Обычный 4 30 2 2" xfId="3277"/>
    <cellStyle name="Обычный 4 30 2 2 2" xfId="5054"/>
    <cellStyle name="Обычный 4 30 2 3" xfId="4166"/>
    <cellStyle name="Обычный 4 30 3" xfId="2150"/>
    <cellStyle name="Обычный 4 30 3 2" xfId="3330"/>
    <cellStyle name="Обычный 4 30 3 2 2" xfId="5107"/>
    <cellStyle name="Обычный 4 30 3 3" xfId="4219"/>
    <cellStyle name="Обычный 4 30 4" xfId="2236"/>
    <cellStyle name="Обычный 4 30 4 2" xfId="3383"/>
    <cellStyle name="Обычный 4 30 4 2 2" xfId="5160"/>
    <cellStyle name="Обычный 4 30 4 3" xfId="4272"/>
    <cellStyle name="Обычный 4 30 5" xfId="2320"/>
    <cellStyle name="Обычный 4 30 5 2" xfId="3436"/>
    <cellStyle name="Обычный 4 30 5 2 2" xfId="5213"/>
    <cellStyle name="Обычный 4 30 5 3" xfId="4325"/>
    <cellStyle name="Обычный 4 30 6" xfId="2404"/>
    <cellStyle name="Обычный 4 30 6 2" xfId="3489"/>
    <cellStyle name="Обычный 4 30 6 2 2" xfId="5266"/>
    <cellStyle name="Обычный 4 30 6 3" xfId="4378"/>
    <cellStyle name="Обычный 4 30 7" xfId="2487"/>
    <cellStyle name="Обычный 4 30 7 2" xfId="3542"/>
    <cellStyle name="Обычный 4 30 7 2 2" xfId="5319"/>
    <cellStyle name="Обычный 4 30 7 3" xfId="4431"/>
    <cellStyle name="Обычный 4 30 8" xfId="2568"/>
    <cellStyle name="Обычный 4 30 8 2" xfId="3594"/>
    <cellStyle name="Обычный 4 30 8 2 2" xfId="5371"/>
    <cellStyle name="Обычный 4 30 8 3" xfId="4483"/>
    <cellStyle name="Обычный 4 30 9" xfId="2646"/>
    <cellStyle name="Обычный 4 30 9 2" xfId="3645"/>
    <cellStyle name="Обычный 4 30 9 2 2" xfId="5422"/>
    <cellStyle name="Обычный 4 30 9 3" xfId="4534"/>
    <cellStyle name="Обычный 4 31" xfId="1381"/>
    <cellStyle name="Обычный 4 31 10" xfId="2726"/>
    <cellStyle name="Обычный 4 31 10 2" xfId="3699"/>
    <cellStyle name="Обычный 4 31 10 2 2" xfId="5476"/>
    <cellStyle name="Обычный 4 31 10 3" xfId="4588"/>
    <cellStyle name="Обычный 4 31 11" xfId="2796"/>
    <cellStyle name="Обычный 4 31 11 2" xfId="3748"/>
    <cellStyle name="Обычный 4 31 11 2 2" xfId="5525"/>
    <cellStyle name="Обычный 4 31 11 3" xfId="4637"/>
    <cellStyle name="Обычный 4 31 12" xfId="2866"/>
    <cellStyle name="Обычный 4 31 12 2" xfId="3797"/>
    <cellStyle name="Обычный 4 31 12 2 2" xfId="5574"/>
    <cellStyle name="Обычный 4 31 12 3" xfId="4686"/>
    <cellStyle name="Обычный 4 31 13" xfId="2934"/>
    <cellStyle name="Обычный 4 31 13 2" xfId="3846"/>
    <cellStyle name="Обычный 4 31 13 2 2" xfId="5623"/>
    <cellStyle name="Обычный 4 31 13 3" xfId="4735"/>
    <cellStyle name="Обычный 4 31 14" xfId="2996"/>
    <cellStyle name="Обычный 4 31 14 2" xfId="3895"/>
    <cellStyle name="Обычный 4 31 14 2 2" xfId="5672"/>
    <cellStyle name="Обычный 4 31 14 3" xfId="4784"/>
    <cellStyle name="Обычный 4 31 2" xfId="2068"/>
    <cellStyle name="Обычный 4 31 2 2" xfId="3281"/>
    <cellStyle name="Обычный 4 31 2 2 2" xfId="5058"/>
    <cellStyle name="Обычный 4 31 2 3" xfId="4170"/>
    <cellStyle name="Обычный 4 31 3" xfId="2155"/>
    <cellStyle name="Обычный 4 31 3 2" xfId="3334"/>
    <cellStyle name="Обычный 4 31 3 2 2" xfId="5111"/>
    <cellStyle name="Обычный 4 31 3 3" xfId="4223"/>
    <cellStyle name="Обычный 4 31 4" xfId="2241"/>
    <cellStyle name="Обычный 4 31 4 2" xfId="3387"/>
    <cellStyle name="Обычный 4 31 4 2 2" xfId="5164"/>
    <cellStyle name="Обычный 4 31 4 3" xfId="4276"/>
    <cellStyle name="Обычный 4 31 5" xfId="2325"/>
    <cellStyle name="Обычный 4 31 5 2" xfId="3440"/>
    <cellStyle name="Обычный 4 31 5 2 2" xfId="5217"/>
    <cellStyle name="Обычный 4 31 5 3" xfId="4329"/>
    <cellStyle name="Обычный 4 31 6" xfId="2409"/>
    <cellStyle name="Обычный 4 31 6 2" xfId="3493"/>
    <cellStyle name="Обычный 4 31 6 2 2" xfId="5270"/>
    <cellStyle name="Обычный 4 31 6 3" xfId="4382"/>
    <cellStyle name="Обычный 4 31 7" xfId="2492"/>
    <cellStyle name="Обычный 4 31 7 2" xfId="3546"/>
    <cellStyle name="Обычный 4 31 7 2 2" xfId="5323"/>
    <cellStyle name="Обычный 4 31 7 3" xfId="4435"/>
    <cellStyle name="Обычный 4 31 8" xfId="2573"/>
    <cellStyle name="Обычный 4 31 8 2" xfId="3598"/>
    <cellStyle name="Обычный 4 31 8 2 2" xfId="5375"/>
    <cellStyle name="Обычный 4 31 8 3" xfId="4487"/>
    <cellStyle name="Обычный 4 31 9" xfId="2651"/>
    <cellStyle name="Обычный 4 31 9 2" xfId="3649"/>
    <cellStyle name="Обычный 4 31 9 2 2" xfId="5426"/>
    <cellStyle name="Обычный 4 31 9 3" xfId="4538"/>
    <cellStyle name="Обычный 4 32" xfId="1494"/>
    <cellStyle name="Обычный 4 32 10" xfId="2731"/>
    <cellStyle name="Обычный 4 32 10 2" xfId="3703"/>
    <cellStyle name="Обычный 4 32 10 2 2" xfId="5480"/>
    <cellStyle name="Обычный 4 32 10 3" xfId="4592"/>
    <cellStyle name="Обычный 4 32 11" xfId="2801"/>
    <cellStyle name="Обычный 4 32 11 2" xfId="3752"/>
    <cellStyle name="Обычный 4 32 11 2 2" xfId="5529"/>
    <cellStyle name="Обычный 4 32 11 3" xfId="4641"/>
    <cellStyle name="Обычный 4 32 12" xfId="2871"/>
    <cellStyle name="Обычный 4 32 12 2" xfId="3801"/>
    <cellStyle name="Обычный 4 32 12 2 2" xfId="5578"/>
    <cellStyle name="Обычный 4 32 12 3" xfId="4690"/>
    <cellStyle name="Обычный 4 32 13" xfId="2939"/>
    <cellStyle name="Обычный 4 32 13 2" xfId="3850"/>
    <cellStyle name="Обычный 4 32 13 2 2" xfId="5627"/>
    <cellStyle name="Обычный 4 32 13 3" xfId="4739"/>
    <cellStyle name="Обычный 4 32 14" xfId="3001"/>
    <cellStyle name="Обычный 4 32 14 2" xfId="3899"/>
    <cellStyle name="Обычный 4 32 14 2 2" xfId="5676"/>
    <cellStyle name="Обычный 4 32 14 3" xfId="4788"/>
    <cellStyle name="Обычный 4 32 2" xfId="2073"/>
    <cellStyle name="Обычный 4 32 2 2" xfId="3285"/>
    <cellStyle name="Обычный 4 32 2 2 2" xfId="5062"/>
    <cellStyle name="Обычный 4 32 2 3" xfId="4174"/>
    <cellStyle name="Обычный 4 32 3" xfId="2160"/>
    <cellStyle name="Обычный 4 32 3 2" xfId="3338"/>
    <cellStyle name="Обычный 4 32 3 2 2" xfId="5115"/>
    <cellStyle name="Обычный 4 32 3 3" xfId="4227"/>
    <cellStyle name="Обычный 4 32 4" xfId="2246"/>
    <cellStyle name="Обычный 4 32 4 2" xfId="3391"/>
    <cellStyle name="Обычный 4 32 4 2 2" xfId="5168"/>
    <cellStyle name="Обычный 4 32 4 3" xfId="4280"/>
    <cellStyle name="Обычный 4 32 5" xfId="2330"/>
    <cellStyle name="Обычный 4 32 5 2" xfId="3444"/>
    <cellStyle name="Обычный 4 32 5 2 2" xfId="5221"/>
    <cellStyle name="Обычный 4 32 5 3" xfId="4333"/>
    <cellStyle name="Обычный 4 32 6" xfId="2414"/>
    <cellStyle name="Обычный 4 32 6 2" xfId="3497"/>
    <cellStyle name="Обычный 4 32 6 2 2" xfId="5274"/>
    <cellStyle name="Обычный 4 32 6 3" xfId="4386"/>
    <cellStyle name="Обычный 4 32 7" xfId="2497"/>
    <cellStyle name="Обычный 4 32 7 2" xfId="3550"/>
    <cellStyle name="Обычный 4 32 7 2 2" xfId="5327"/>
    <cellStyle name="Обычный 4 32 7 3" xfId="4439"/>
    <cellStyle name="Обычный 4 32 8" xfId="2578"/>
    <cellStyle name="Обычный 4 32 8 2" xfId="3602"/>
    <cellStyle name="Обычный 4 32 8 2 2" xfId="5379"/>
    <cellStyle name="Обычный 4 32 8 3" xfId="4491"/>
    <cellStyle name="Обычный 4 32 9" xfId="2656"/>
    <cellStyle name="Обычный 4 32 9 2" xfId="3653"/>
    <cellStyle name="Обычный 4 32 9 2 2" xfId="5430"/>
    <cellStyle name="Обычный 4 32 9 3" xfId="4542"/>
    <cellStyle name="Обычный 4 33" xfId="1284"/>
    <cellStyle name="Обычный 4 33 10" xfId="2736"/>
    <cellStyle name="Обычный 4 33 10 2" xfId="3707"/>
    <cellStyle name="Обычный 4 33 10 2 2" xfId="5484"/>
    <cellStyle name="Обычный 4 33 10 3" xfId="4596"/>
    <cellStyle name="Обычный 4 33 11" xfId="2806"/>
    <cellStyle name="Обычный 4 33 11 2" xfId="3756"/>
    <cellStyle name="Обычный 4 33 11 2 2" xfId="5533"/>
    <cellStyle name="Обычный 4 33 11 3" xfId="4645"/>
    <cellStyle name="Обычный 4 33 12" xfId="2876"/>
    <cellStyle name="Обычный 4 33 12 2" xfId="3805"/>
    <cellStyle name="Обычный 4 33 12 2 2" xfId="5582"/>
    <cellStyle name="Обычный 4 33 12 3" xfId="4694"/>
    <cellStyle name="Обычный 4 33 13" xfId="2944"/>
    <cellStyle name="Обычный 4 33 13 2" xfId="3854"/>
    <cellStyle name="Обычный 4 33 13 2 2" xfId="5631"/>
    <cellStyle name="Обычный 4 33 13 3" xfId="4743"/>
    <cellStyle name="Обычный 4 33 14" xfId="3006"/>
    <cellStyle name="Обычный 4 33 14 2" xfId="3903"/>
    <cellStyle name="Обычный 4 33 14 2 2" xfId="5680"/>
    <cellStyle name="Обычный 4 33 14 3" xfId="4792"/>
    <cellStyle name="Обычный 4 33 2" xfId="2078"/>
    <cellStyle name="Обычный 4 33 2 2" xfId="3289"/>
    <cellStyle name="Обычный 4 33 2 2 2" xfId="5066"/>
    <cellStyle name="Обычный 4 33 2 3" xfId="4178"/>
    <cellStyle name="Обычный 4 33 3" xfId="2165"/>
    <cellStyle name="Обычный 4 33 3 2" xfId="3342"/>
    <cellStyle name="Обычный 4 33 3 2 2" xfId="5119"/>
    <cellStyle name="Обычный 4 33 3 3" xfId="4231"/>
    <cellStyle name="Обычный 4 33 4" xfId="2251"/>
    <cellStyle name="Обычный 4 33 4 2" xfId="3395"/>
    <cellStyle name="Обычный 4 33 4 2 2" xfId="5172"/>
    <cellStyle name="Обычный 4 33 4 3" xfId="4284"/>
    <cellStyle name="Обычный 4 33 5" xfId="2335"/>
    <cellStyle name="Обычный 4 33 5 2" xfId="3448"/>
    <cellStyle name="Обычный 4 33 5 2 2" xfId="5225"/>
    <cellStyle name="Обычный 4 33 5 3" xfId="4337"/>
    <cellStyle name="Обычный 4 33 6" xfId="2419"/>
    <cellStyle name="Обычный 4 33 6 2" xfId="3501"/>
    <cellStyle name="Обычный 4 33 6 2 2" xfId="5278"/>
    <cellStyle name="Обычный 4 33 6 3" xfId="4390"/>
    <cellStyle name="Обычный 4 33 7" xfId="2502"/>
    <cellStyle name="Обычный 4 33 7 2" xfId="3554"/>
    <cellStyle name="Обычный 4 33 7 2 2" xfId="5331"/>
    <cellStyle name="Обычный 4 33 7 3" xfId="4443"/>
    <cellStyle name="Обычный 4 33 8" xfId="2583"/>
    <cellStyle name="Обычный 4 33 8 2" xfId="3606"/>
    <cellStyle name="Обычный 4 33 8 2 2" xfId="5383"/>
    <cellStyle name="Обычный 4 33 8 3" xfId="4495"/>
    <cellStyle name="Обычный 4 33 9" xfId="2661"/>
    <cellStyle name="Обычный 4 33 9 2" xfId="3657"/>
    <cellStyle name="Обычный 4 33 9 2 2" xfId="5434"/>
    <cellStyle name="Обычный 4 33 9 3" xfId="4546"/>
    <cellStyle name="Обычный 4 34" xfId="1552"/>
    <cellStyle name="Обычный 4 34 10" xfId="2741"/>
    <cellStyle name="Обычный 4 34 10 2" xfId="3711"/>
    <cellStyle name="Обычный 4 34 10 2 2" xfId="5488"/>
    <cellStyle name="Обычный 4 34 10 3" xfId="4600"/>
    <cellStyle name="Обычный 4 34 11" xfId="2811"/>
    <cellStyle name="Обычный 4 34 11 2" xfId="3760"/>
    <cellStyle name="Обычный 4 34 11 2 2" xfId="5537"/>
    <cellStyle name="Обычный 4 34 11 3" xfId="4649"/>
    <cellStyle name="Обычный 4 34 12" xfId="2881"/>
    <cellStyle name="Обычный 4 34 12 2" xfId="3809"/>
    <cellStyle name="Обычный 4 34 12 2 2" xfId="5586"/>
    <cellStyle name="Обычный 4 34 12 3" xfId="4698"/>
    <cellStyle name="Обычный 4 34 13" xfId="2949"/>
    <cellStyle name="Обычный 4 34 13 2" xfId="3858"/>
    <cellStyle name="Обычный 4 34 13 2 2" xfId="5635"/>
    <cellStyle name="Обычный 4 34 13 3" xfId="4747"/>
    <cellStyle name="Обычный 4 34 14" xfId="3011"/>
    <cellStyle name="Обычный 4 34 14 2" xfId="3907"/>
    <cellStyle name="Обычный 4 34 14 2 2" xfId="5684"/>
    <cellStyle name="Обычный 4 34 14 3" xfId="4796"/>
    <cellStyle name="Обычный 4 34 2" xfId="2083"/>
    <cellStyle name="Обычный 4 34 2 2" xfId="3293"/>
    <cellStyle name="Обычный 4 34 2 2 2" xfId="5070"/>
    <cellStyle name="Обычный 4 34 2 3" xfId="4182"/>
    <cellStyle name="Обычный 4 34 3" xfId="2170"/>
    <cellStyle name="Обычный 4 34 3 2" xfId="3346"/>
    <cellStyle name="Обычный 4 34 3 2 2" xfId="5123"/>
    <cellStyle name="Обычный 4 34 3 3" xfId="4235"/>
    <cellStyle name="Обычный 4 34 4" xfId="2256"/>
    <cellStyle name="Обычный 4 34 4 2" xfId="3399"/>
    <cellStyle name="Обычный 4 34 4 2 2" xfId="5176"/>
    <cellStyle name="Обычный 4 34 4 3" xfId="4288"/>
    <cellStyle name="Обычный 4 34 5" xfId="2340"/>
    <cellStyle name="Обычный 4 34 5 2" xfId="3452"/>
    <cellStyle name="Обычный 4 34 5 2 2" xfId="5229"/>
    <cellStyle name="Обычный 4 34 5 3" xfId="4341"/>
    <cellStyle name="Обычный 4 34 6" xfId="2424"/>
    <cellStyle name="Обычный 4 34 6 2" xfId="3505"/>
    <cellStyle name="Обычный 4 34 6 2 2" xfId="5282"/>
    <cellStyle name="Обычный 4 34 6 3" xfId="4394"/>
    <cellStyle name="Обычный 4 34 7" xfId="2507"/>
    <cellStyle name="Обычный 4 34 7 2" xfId="3558"/>
    <cellStyle name="Обычный 4 34 7 2 2" xfId="5335"/>
    <cellStyle name="Обычный 4 34 7 3" xfId="4447"/>
    <cellStyle name="Обычный 4 34 8" xfId="2588"/>
    <cellStyle name="Обычный 4 34 8 2" xfId="3610"/>
    <cellStyle name="Обычный 4 34 8 2 2" xfId="5387"/>
    <cellStyle name="Обычный 4 34 8 3" xfId="4499"/>
    <cellStyle name="Обычный 4 34 9" xfId="2666"/>
    <cellStyle name="Обычный 4 34 9 2" xfId="3661"/>
    <cellStyle name="Обычный 4 34 9 2 2" xfId="5438"/>
    <cellStyle name="Обычный 4 34 9 3" xfId="4550"/>
    <cellStyle name="Обычный 4 35" xfId="695"/>
    <cellStyle name="Обычный 4 35 10" xfId="2746"/>
    <cellStyle name="Обычный 4 35 10 2" xfId="3715"/>
    <cellStyle name="Обычный 4 35 10 2 2" xfId="5492"/>
    <cellStyle name="Обычный 4 35 10 3" xfId="4604"/>
    <cellStyle name="Обычный 4 35 11" xfId="2816"/>
    <cellStyle name="Обычный 4 35 11 2" xfId="3764"/>
    <cellStyle name="Обычный 4 35 11 2 2" xfId="5541"/>
    <cellStyle name="Обычный 4 35 11 3" xfId="4653"/>
    <cellStyle name="Обычный 4 35 12" xfId="2886"/>
    <cellStyle name="Обычный 4 35 12 2" xfId="3813"/>
    <cellStyle name="Обычный 4 35 12 2 2" xfId="5590"/>
    <cellStyle name="Обычный 4 35 12 3" xfId="4702"/>
    <cellStyle name="Обычный 4 35 13" xfId="2954"/>
    <cellStyle name="Обычный 4 35 13 2" xfId="3862"/>
    <cellStyle name="Обычный 4 35 13 2 2" xfId="5639"/>
    <cellStyle name="Обычный 4 35 13 3" xfId="4751"/>
    <cellStyle name="Обычный 4 35 14" xfId="3016"/>
    <cellStyle name="Обычный 4 35 14 2" xfId="3911"/>
    <cellStyle name="Обычный 4 35 14 2 2" xfId="5688"/>
    <cellStyle name="Обычный 4 35 14 3" xfId="4800"/>
    <cellStyle name="Обычный 4 35 2" xfId="2088"/>
    <cellStyle name="Обычный 4 35 2 2" xfId="3297"/>
    <cellStyle name="Обычный 4 35 2 2 2" xfId="5074"/>
    <cellStyle name="Обычный 4 35 2 3" xfId="4186"/>
    <cellStyle name="Обычный 4 35 3" xfId="2175"/>
    <cellStyle name="Обычный 4 35 3 2" xfId="3350"/>
    <cellStyle name="Обычный 4 35 3 2 2" xfId="5127"/>
    <cellStyle name="Обычный 4 35 3 3" xfId="4239"/>
    <cellStyle name="Обычный 4 35 4" xfId="2261"/>
    <cellStyle name="Обычный 4 35 4 2" xfId="3403"/>
    <cellStyle name="Обычный 4 35 4 2 2" xfId="5180"/>
    <cellStyle name="Обычный 4 35 4 3" xfId="4292"/>
    <cellStyle name="Обычный 4 35 5" xfId="2345"/>
    <cellStyle name="Обычный 4 35 5 2" xfId="3456"/>
    <cellStyle name="Обычный 4 35 5 2 2" xfId="5233"/>
    <cellStyle name="Обычный 4 35 5 3" xfId="4345"/>
    <cellStyle name="Обычный 4 35 6" xfId="2429"/>
    <cellStyle name="Обычный 4 35 6 2" xfId="3509"/>
    <cellStyle name="Обычный 4 35 6 2 2" xfId="5286"/>
    <cellStyle name="Обычный 4 35 6 3" xfId="4398"/>
    <cellStyle name="Обычный 4 35 7" xfId="2512"/>
    <cellStyle name="Обычный 4 35 7 2" xfId="3562"/>
    <cellStyle name="Обычный 4 35 7 2 2" xfId="5339"/>
    <cellStyle name="Обычный 4 35 7 3" xfId="4451"/>
    <cellStyle name="Обычный 4 35 8" xfId="2593"/>
    <cellStyle name="Обычный 4 35 8 2" xfId="3614"/>
    <cellStyle name="Обычный 4 35 8 2 2" xfId="5391"/>
    <cellStyle name="Обычный 4 35 8 3" xfId="4503"/>
    <cellStyle name="Обычный 4 35 9" xfId="2671"/>
    <cellStyle name="Обычный 4 35 9 2" xfId="3665"/>
    <cellStyle name="Обычный 4 35 9 2 2" xfId="5442"/>
    <cellStyle name="Обычный 4 35 9 3" xfId="4554"/>
    <cellStyle name="Обычный 4 36" xfId="1609"/>
    <cellStyle name="Обычный 4 36 10" xfId="2751"/>
    <cellStyle name="Обычный 4 36 10 2" xfId="3719"/>
    <cellStyle name="Обычный 4 36 10 2 2" xfId="5496"/>
    <cellStyle name="Обычный 4 36 10 3" xfId="4608"/>
    <cellStyle name="Обычный 4 36 11" xfId="2821"/>
    <cellStyle name="Обычный 4 36 11 2" xfId="3768"/>
    <cellStyle name="Обычный 4 36 11 2 2" xfId="5545"/>
    <cellStyle name="Обычный 4 36 11 3" xfId="4657"/>
    <cellStyle name="Обычный 4 36 12" xfId="2891"/>
    <cellStyle name="Обычный 4 36 12 2" xfId="3817"/>
    <cellStyle name="Обычный 4 36 12 2 2" xfId="5594"/>
    <cellStyle name="Обычный 4 36 12 3" xfId="4706"/>
    <cellStyle name="Обычный 4 36 13" xfId="2959"/>
    <cellStyle name="Обычный 4 36 13 2" xfId="3866"/>
    <cellStyle name="Обычный 4 36 13 2 2" xfId="5643"/>
    <cellStyle name="Обычный 4 36 13 3" xfId="4755"/>
    <cellStyle name="Обычный 4 36 14" xfId="3021"/>
    <cellStyle name="Обычный 4 36 14 2" xfId="3915"/>
    <cellStyle name="Обычный 4 36 14 2 2" xfId="5692"/>
    <cellStyle name="Обычный 4 36 14 3" xfId="4804"/>
    <cellStyle name="Обычный 4 36 2" xfId="2093"/>
    <cellStyle name="Обычный 4 36 2 2" xfId="3301"/>
    <cellStyle name="Обычный 4 36 2 2 2" xfId="5078"/>
    <cellStyle name="Обычный 4 36 2 3" xfId="4190"/>
    <cellStyle name="Обычный 4 36 3" xfId="2180"/>
    <cellStyle name="Обычный 4 36 3 2" xfId="3354"/>
    <cellStyle name="Обычный 4 36 3 2 2" xfId="5131"/>
    <cellStyle name="Обычный 4 36 3 3" xfId="4243"/>
    <cellStyle name="Обычный 4 36 4" xfId="2266"/>
    <cellStyle name="Обычный 4 36 4 2" xfId="3407"/>
    <cellStyle name="Обычный 4 36 4 2 2" xfId="5184"/>
    <cellStyle name="Обычный 4 36 4 3" xfId="4296"/>
    <cellStyle name="Обычный 4 36 5" xfId="2350"/>
    <cellStyle name="Обычный 4 36 5 2" xfId="3460"/>
    <cellStyle name="Обычный 4 36 5 2 2" xfId="5237"/>
    <cellStyle name="Обычный 4 36 5 3" xfId="4349"/>
    <cellStyle name="Обычный 4 36 6" xfId="2434"/>
    <cellStyle name="Обычный 4 36 6 2" xfId="3513"/>
    <cellStyle name="Обычный 4 36 6 2 2" xfId="5290"/>
    <cellStyle name="Обычный 4 36 6 3" xfId="4402"/>
    <cellStyle name="Обычный 4 36 7" xfId="2517"/>
    <cellStyle name="Обычный 4 36 7 2" xfId="3566"/>
    <cellStyle name="Обычный 4 36 7 2 2" xfId="5343"/>
    <cellStyle name="Обычный 4 36 7 3" xfId="4455"/>
    <cellStyle name="Обычный 4 36 8" xfId="2598"/>
    <cellStyle name="Обычный 4 36 8 2" xfId="3618"/>
    <cellStyle name="Обычный 4 36 8 2 2" xfId="5395"/>
    <cellStyle name="Обычный 4 36 8 3" xfId="4507"/>
    <cellStyle name="Обычный 4 36 9" xfId="2676"/>
    <cellStyle name="Обычный 4 36 9 2" xfId="3669"/>
    <cellStyle name="Обычный 4 36 9 2 2" xfId="5446"/>
    <cellStyle name="Обычный 4 36 9 3" xfId="4558"/>
    <cellStyle name="Обычный 4 37" xfId="1200"/>
    <cellStyle name="Обычный 4 37 10" xfId="2756"/>
    <cellStyle name="Обычный 4 37 10 2" xfId="3723"/>
    <cellStyle name="Обычный 4 37 10 2 2" xfId="5500"/>
    <cellStyle name="Обычный 4 37 10 3" xfId="4612"/>
    <cellStyle name="Обычный 4 37 11" xfId="2826"/>
    <cellStyle name="Обычный 4 37 11 2" xfId="3772"/>
    <cellStyle name="Обычный 4 37 11 2 2" xfId="5549"/>
    <cellStyle name="Обычный 4 37 11 3" xfId="4661"/>
    <cellStyle name="Обычный 4 37 12" xfId="2896"/>
    <cellStyle name="Обычный 4 37 12 2" xfId="3821"/>
    <cellStyle name="Обычный 4 37 12 2 2" xfId="5598"/>
    <cellStyle name="Обычный 4 37 12 3" xfId="4710"/>
    <cellStyle name="Обычный 4 37 13" xfId="2964"/>
    <cellStyle name="Обычный 4 37 13 2" xfId="3870"/>
    <cellStyle name="Обычный 4 37 13 2 2" xfId="5647"/>
    <cellStyle name="Обычный 4 37 13 3" xfId="4759"/>
    <cellStyle name="Обычный 4 37 14" xfId="3026"/>
    <cellStyle name="Обычный 4 37 14 2" xfId="3919"/>
    <cellStyle name="Обычный 4 37 14 2 2" xfId="5696"/>
    <cellStyle name="Обычный 4 37 14 3" xfId="4808"/>
    <cellStyle name="Обычный 4 37 2" xfId="2098"/>
    <cellStyle name="Обычный 4 37 2 2" xfId="3305"/>
    <cellStyle name="Обычный 4 37 2 2 2" xfId="5082"/>
    <cellStyle name="Обычный 4 37 2 3" xfId="4194"/>
    <cellStyle name="Обычный 4 37 3" xfId="2185"/>
    <cellStyle name="Обычный 4 37 3 2" xfId="3358"/>
    <cellStyle name="Обычный 4 37 3 2 2" xfId="5135"/>
    <cellStyle name="Обычный 4 37 3 3" xfId="4247"/>
    <cellStyle name="Обычный 4 37 4" xfId="2271"/>
    <cellStyle name="Обычный 4 37 4 2" xfId="3411"/>
    <cellStyle name="Обычный 4 37 4 2 2" xfId="5188"/>
    <cellStyle name="Обычный 4 37 4 3" xfId="4300"/>
    <cellStyle name="Обычный 4 37 5" xfId="2355"/>
    <cellStyle name="Обычный 4 37 5 2" xfId="3464"/>
    <cellStyle name="Обычный 4 37 5 2 2" xfId="5241"/>
    <cellStyle name="Обычный 4 37 5 3" xfId="4353"/>
    <cellStyle name="Обычный 4 37 6" xfId="2439"/>
    <cellStyle name="Обычный 4 37 6 2" xfId="3517"/>
    <cellStyle name="Обычный 4 37 6 2 2" xfId="5294"/>
    <cellStyle name="Обычный 4 37 6 3" xfId="4406"/>
    <cellStyle name="Обычный 4 37 7" xfId="2522"/>
    <cellStyle name="Обычный 4 37 7 2" xfId="3570"/>
    <cellStyle name="Обычный 4 37 7 2 2" xfId="5347"/>
    <cellStyle name="Обычный 4 37 7 3" xfId="4459"/>
    <cellStyle name="Обычный 4 37 8" xfId="2603"/>
    <cellStyle name="Обычный 4 37 8 2" xfId="3622"/>
    <cellStyle name="Обычный 4 37 8 2 2" xfId="5399"/>
    <cellStyle name="Обычный 4 37 8 3" xfId="4511"/>
    <cellStyle name="Обычный 4 37 9" xfId="2681"/>
    <cellStyle name="Обычный 4 37 9 2" xfId="3673"/>
    <cellStyle name="Обычный 4 37 9 2 2" xfId="5450"/>
    <cellStyle name="Обычный 4 37 9 3" xfId="4562"/>
    <cellStyle name="Обычный 4 38" xfId="1665"/>
    <cellStyle name="Обычный 4 38 10" xfId="2761"/>
    <cellStyle name="Обычный 4 38 10 2" xfId="3727"/>
    <cellStyle name="Обычный 4 38 10 2 2" xfId="5504"/>
    <cellStyle name="Обычный 4 38 10 3" xfId="4616"/>
    <cellStyle name="Обычный 4 38 11" xfId="2831"/>
    <cellStyle name="Обычный 4 38 11 2" xfId="3776"/>
    <cellStyle name="Обычный 4 38 11 2 2" xfId="5553"/>
    <cellStyle name="Обычный 4 38 11 3" xfId="4665"/>
    <cellStyle name="Обычный 4 38 12" xfId="2901"/>
    <cellStyle name="Обычный 4 38 12 2" xfId="3825"/>
    <cellStyle name="Обычный 4 38 12 2 2" xfId="5602"/>
    <cellStyle name="Обычный 4 38 12 3" xfId="4714"/>
    <cellStyle name="Обычный 4 38 13" xfId="2969"/>
    <cellStyle name="Обычный 4 38 13 2" xfId="3874"/>
    <cellStyle name="Обычный 4 38 13 2 2" xfId="5651"/>
    <cellStyle name="Обычный 4 38 13 3" xfId="4763"/>
    <cellStyle name="Обычный 4 38 14" xfId="3031"/>
    <cellStyle name="Обычный 4 38 14 2" xfId="3923"/>
    <cellStyle name="Обычный 4 38 14 2 2" xfId="5700"/>
    <cellStyle name="Обычный 4 38 14 3" xfId="4812"/>
    <cellStyle name="Обычный 4 38 2" xfId="2103"/>
    <cellStyle name="Обычный 4 38 2 2" xfId="3309"/>
    <cellStyle name="Обычный 4 38 2 2 2" xfId="5086"/>
    <cellStyle name="Обычный 4 38 2 3" xfId="4198"/>
    <cellStyle name="Обычный 4 38 3" xfId="2190"/>
    <cellStyle name="Обычный 4 38 3 2" xfId="3362"/>
    <cellStyle name="Обычный 4 38 3 2 2" xfId="5139"/>
    <cellStyle name="Обычный 4 38 3 3" xfId="4251"/>
    <cellStyle name="Обычный 4 38 4" xfId="2276"/>
    <cellStyle name="Обычный 4 38 4 2" xfId="3415"/>
    <cellStyle name="Обычный 4 38 4 2 2" xfId="5192"/>
    <cellStyle name="Обычный 4 38 4 3" xfId="4304"/>
    <cellStyle name="Обычный 4 38 5" xfId="2360"/>
    <cellStyle name="Обычный 4 38 5 2" xfId="3468"/>
    <cellStyle name="Обычный 4 38 5 2 2" xfId="5245"/>
    <cellStyle name="Обычный 4 38 5 3" xfId="4357"/>
    <cellStyle name="Обычный 4 38 6" xfId="2444"/>
    <cellStyle name="Обычный 4 38 6 2" xfId="3521"/>
    <cellStyle name="Обычный 4 38 6 2 2" xfId="5298"/>
    <cellStyle name="Обычный 4 38 6 3" xfId="4410"/>
    <cellStyle name="Обычный 4 38 7" xfId="2527"/>
    <cellStyle name="Обычный 4 38 7 2" xfId="3574"/>
    <cellStyle name="Обычный 4 38 7 2 2" xfId="5351"/>
    <cellStyle name="Обычный 4 38 7 3" xfId="4463"/>
    <cellStyle name="Обычный 4 38 8" xfId="2608"/>
    <cellStyle name="Обычный 4 38 8 2" xfId="3626"/>
    <cellStyle name="Обычный 4 38 8 2 2" xfId="5403"/>
    <cellStyle name="Обычный 4 38 8 3" xfId="4515"/>
    <cellStyle name="Обычный 4 38 9" xfId="2686"/>
    <cellStyle name="Обычный 4 38 9 2" xfId="3677"/>
    <cellStyle name="Обычный 4 38 9 2 2" xfId="5454"/>
    <cellStyle name="Обычный 4 38 9 3" xfId="4566"/>
    <cellStyle name="Обычный 4 39" xfId="1277"/>
    <cellStyle name="Обычный 4 39 10" xfId="2765"/>
    <cellStyle name="Обычный 4 39 10 2" xfId="3731"/>
    <cellStyle name="Обычный 4 39 10 2 2" xfId="5508"/>
    <cellStyle name="Обычный 4 39 10 3" xfId="4620"/>
    <cellStyle name="Обычный 4 39 11" xfId="2835"/>
    <cellStyle name="Обычный 4 39 11 2" xfId="3780"/>
    <cellStyle name="Обычный 4 39 11 2 2" xfId="5557"/>
    <cellStyle name="Обычный 4 39 11 3" xfId="4669"/>
    <cellStyle name="Обычный 4 39 12" xfId="2905"/>
    <cellStyle name="Обычный 4 39 12 2" xfId="3829"/>
    <cellStyle name="Обычный 4 39 12 2 2" xfId="5606"/>
    <cellStyle name="Обычный 4 39 12 3" xfId="4718"/>
    <cellStyle name="Обычный 4 39 13" xfId="2973"/>
    <cellStyle name="Обычный 4 39 13 2" xfId="3878"/>
    <cellStyle name="Обычный 4 39 13 2 2" xfId="5655"/>
    <cellStyle name="Обычный 4 39 13 3" xfId="4767"/>
    <cellStyle name="Обычный 4 39 14" xfId="3035"/>
    <cellStyle name="Обычный 4 39 14 2" xfId="3927"/>
    <cellStyle name="Обычный 4 39 14 2 2" xfId="5704"/>
    <cellStyle name="Обычный 4 39 14 3" xfId="4816"/>
    <cellStyle name="Обычный 4 39 2" xfId="2107"/>
    <cellStyle name="Обычный 4 39 2 2" xfId="3313"/>
    <cellStyle name="Обычный 4 39 2 2 2" xfId="5090"/>
    <cellStyle name="Обычный 4 39 2 3" xfId="4202"/>
    <cellStyle name="Обычный 4 39 3" xfId="2194"/>
    <cellStyle name="Обычный 4 39 3 2" xfId="3366"/>
    <cellStyle name="Обычный 4 39 3 2 2" xfId="5143"/>
    <cellStyle name="Обычный 4 39 3 3" xfId="4255"/>
    <cellStyle name="Обычный 4 39 4" xfId="2280"/>
    <cellStyle name="Обычный 4 39 4 2" xfId="3419"/>
    <cellStyle name="Обычный 4 39 4 2 2" xfId="5196"/>
    <cellStyle name="Обычный 4 39 4 3" xfId="4308"/>
    <cellStyle name="Обычный 4 39 5" xfId="2364"/>
    <cellStyle name="Обычный 4 39 5 2" xfId="3472"/>
    <cellStyle name="Обычный 4 39 5 2 2" xfId="5249"/>
    <cellStyle name="Обычный 4 39 5 3" xfId="4361"/>
    <cellStyle name="Обычный 4 39 6" xfId="2448"/>
    <cellStyle name="Обычный 4 39 6 2" xfId="3525"/>
    <cellStyle name="Обычный 4 39 6 2 2" xfId="5302"/>
    <cellStyle name="Обычный 4 39 6 3" xfId="4414"/>
    <cellStyle name="Обычный 4 39 7" xfId="2531"/>
    <cellStyle name="Обычный 4 39 7 2" xfId="3578"/>
    <cellStyle name="Обычный 4 39 7 2 2" xfId="5355"/>
    <cellStyle name="Обычный 4 39 7 3" xfId="4467"/>
    <cellStyle name="Обычный 4 39 8" xfId="2612"/>
    <cellStyle name="Обычный 4 39 8 2" xfId="3630"/>
    <cellStyle name="Обычный 4 39 8 2 2" xfId="5407"/>
    <cellStyle name="Обычный 4 39 8 3" xfId="4519"/>
    <cellStyle name="Обычный 4 39 9" xfId="2690"/>
    <cellStyle name="Обычный 4 39 9 2" xfId="3681"/>
    <cellStyle name="Обычный 4 39 9 2 2" xfId="5458"/>
    <cellStyle name="Обычный 4 39 9 3" xfId="4570"/>
    <cellStyle name="Обычный 4 4" xfId="383"/>
    <cellStyle name="Обычный 4 4 10" xfId="988"/>
    <cellStyle name="Обычный 4 4 11" xfId="1004"/>
    <cellStyle name="Обычный 4 4 12" xfId="1020"/>
    <cellStyle name="Обычный 4 4 13" xfId="1036"/>
    <cellStyle name="Обычный 4 4 14" xfId="1052"/>
    <cellStyle name="Обычный 4 4 15" xfId="895"/>
    <cellStyle name="Обычный 4 4 16" xfId="1121"/>
    <cellStyle name="Обычный 4 4 17" xfId="1143"/>
    <cellStyle name="Обычный 4 4 18" xfId="1465"/>
    <cellStyle name="Обычный 4 4 19" xfId="784"/>
    <cellStyle name="Обычный 4 4 2" xfId="724"/>
    <cellStyle name="Обычный 4 4 2 10" xfId="1476"/>
    <cellStyle name="Обычный 4 4 2 11" xfId="1364"/>
    <cellStyle name="Обычный 4 4 2 12" xfId="1533"/>
    <cellStyle name="Обычный 4 4 2 13" xfId="1354"/>
    <cellStyle name="Обычный 4 4 2 14" xfId="1593"/>
    <cellStyle name="Обычный 4 4 2 15" xfId="1235"/>
    <cellStyle name="Обычный 4 4 2 16" xfId="1647"/>
    <cellStyle name="Обычный 4 4 2 17" xfId="885"/>
    <cellStyle name="Обычный 4 4 2 18" xfId="1702"/>
    <cellStyle name="Обычный 4 4 2 19" xfId="1376"/>
    <cellStyle name="Обычный 4 4 2 2" xfId="887"/>
    <cellStyle name="Обычный 4 4 2 20" xfId="1758"/>
    <cellStyle name="Обычный 4 4 2 21" xfId="1266"/>
    <cellStyle name="Обычный 4 4 2 22" xfId="1803"/>
    <cellStyle name="Обычный 4 4 2 23" xfId="1181"/>
    <cellStyle name="Обычный 4 4 2 24" xfId="1856"/>
    <cellStyle name="Обычный 4 4 2 25" xfId="1188"/>
    <cellStyle name="Обычный 4 4 2 26" xfId="1899"/>
    <cellStyle name="Обычный 4 4 2 27" xfId="1195"/>
    <cellStyle name="Обычный 4 4 2 28" xfId="1964"/>
    <cellStyle name="Обычный 4 4 2 29" xfId="2052"/>
    <cellStyle name="Обычный 4 4 2 3" xfId="1232"/>
    <cellStyle name="Обычный 4 4 2 30" xfId="2139"/>
    <cellStyle name="Обычный 4 4 2 31" xfId="2225"/>
    <cellStyle name="Обычный 4 4 2 32" xfId="2309"/>
    <cellStyle name="Обычный 4 4 2 33" xfId="2393"/>
    <cellStyle name="Обычный 4 4 2 34" xfId="2476"/>
    <cellStyle name="Обычный 4 4 2 35" xfId="2557"/>
    <cellStyle name="Обычный 4 4 2 36" xfId="2635"/>
    <cellStyle name="Обычный 4 4 2 37" xfId="2710"/>
    <cellStyle name="Обычный 4 4 2 38" xfId="2780"/>
    <cellStyle name="Обычный 4 4 2 39" xfId="2850"/>
    <cellStyle name="Обычный 4 4 2 4" xfId="1374"/>
    <cellStyle name="Обычный 4 4 2 40" xfId="2918"/>
    <cellStyle name="Обычный 4 4 2 5" xfId="1228"/>
    <cellStyle name="Обычный 4 4 2 6" xfId="1271"/>
    <cellStyle name="Обычный 4 4 2 7" xfId="1170"/>
    <cellStyle name="Обычный 4 4 2 8" xfId="1331"/>
    <cellStyle name="Обычный 4 4 2 9" xfId="1403"/>
    <cellStyle name="Обычный 4 4 20" xfId="1521"/>
    <cellStyle name="Обычный 4 4 21" xfId="1215"/>
    <cellStyle name="Обычный 4 4 22" xfId="1582"/>
    <cellStyle name="Обычный 4 4 23" xfId="880"/>
    <cellStyle name="Обычный 4 4 24" xfId="1635"/>
    <cellStyle name="Обычный 4 4 25" xfId="1199"/>
    <cellStyle name="Обычный 4 4 26" xfId="1691"/>
    <cellStyle name="Обычный 4 4 27" xfId="1390"/>
    <cellStyle name="Обычный 4 4 28" xfId="1748"/>
    <cellStyle name="Обычный 4 4 29" xfId="1384"/>
    <cellStyle name="Обычный 4 4 3" xfId="935"/>
    <cellStyle name="Обычный 4 4 30" xfId="1796"/>
    <cellStyle name="Обычный 4 4 31" xfId="1150"/>
    <cellStyle name="Обычный 4 4 32" xfId="1845"/>
    <cellStyle name="Обычный 4 4 33" xfId="866"/>
    <cellStyle name="Обычный 4 4 34" xfId="1891"/>
    <cellStyle name="Обычный 4 4 35" xfId="1443"/>
    <cellStyle name="Обычный 4 4 36" xfId="1938"/>
    <cellStyle name="Обычный 4 4 37" xfId="1499"/>
    <cellStyle name="Обычный 4 4 38" xfId="1979"/>
    <cellStyle name="Обычный 4 4 39" xfId="1557"/>
    <cellStyle name="Обычный 4 4 4" xfId="921"/>
    <cellStyle name="Обычный 4 4 40" xfId="1755"/>
    <cellStyle name="Обычный 4 4 41" xfId="2032"/>
    <cellStyle name="Обычный 4 4 42" xfId="2119"/>
    <cellStyle name="Обычный 4 4 43" xfId="2206"/>
    <cellStyle name="Обычный 4 4 44" xfId="2291"/>
    <cellStyle name="Обычный 4 4 45" xfId="2375"/>
    <cellStyle name="Обычный 4 4 46" xfId="2458"/>
    <cellStyle name="Обычный 4 4 47" xfId="2539"/>
    <cellStyle name="Обычный 4 4 48" xfId="2620"/>
    <cellStyle name="Обычный 4 4 49" xfId="2698"/>
    <cellStyle name="Обычный 4 4 5" xfId="914"/>
    <cellStyle name="Обычный 4 4 50" xfId="2772"/>
    <cellStyle name="Обычный 4 4 51" xfId="2842"/>
    <cellStyle name="Обычный 4 4 52" xfId="2911"/>
    <cellStyle name="Обычный 4 4 53" xfId="646"/>
    <cellStyle name="Обычный 4 4 6" xfId="928"/>
    <cellStyle name="Обычный 4 4 7" xfId="932"/>
    <cellStyle name="Обычный 4 4 8" xfId="954"/>
    <cellStyle name="Обычный 4 4 9" xfId="971"/>
    <cellStyle name="Обычный 4 40" xfId="1720"/>
    <cellStyle name="Обычный 4 40 10" xfId="2769"/>
    <cellStyle name="Обычный 4 40 10 2" xfId="3735"/>
    <cellStyle name="Обычный 4 40 10 2 2" xfId="5512"/>
    <cellStyle name="Обычный 4 40 10 3" xfId="4624"/>
    <cellStyle name="Обычный 4 40 11" xfId="2839"/>
    <cellStyle name="Обычный 4 40 11 2" xfId="3784"/>
    <cellStyle name="Обычный 4 40 11 2 2" xfId="5561"/>
    <cellStyle name="Обычный 4 40 11 3" xfId="4673"/>
    <cellStyle name="Обычный 4 40 12" xfId="2909"/>
    <cellStyle name="Обычный 4 40 12 2" xfId="3833"/>
    <cellStyle name="Обычный 4 40 12 2 2" xfId="5610"/>
    <cellStyle name="Обычный 4 40 12 3" xfId="4722"/>
    <cellStyle name="Обычный 4 40 13" xfId="2977"/>
    <cellStyle name="Обычный 4 40 13 2" xfId="3882"/>
    <cellStyle name="Обычный 4 40 13 2 2" xfId="5659"/>
    <cellStyle name="Обычный 4 40 13 3" xfId="4771"/>
    <cellStyle name="Обычный 4 40 14" xfId="3039"/>
    <cellStyle name="Обычный 4 40 14 2" xfId="3931"/>
    <cellStyle name="Обычный 4 40 14 2 2" xfId="5708"/>
    <cellStyle name="Обычный 4 40 14 3" xfId="4820"/>
    <cellStyle name="Обычный 4 40 2" xfId="2111"/>
    <cellStyle name="Обычный 4 40 2 2" xfId="3317"/>
    <cellStyle name="Обычный 4 40 2 2 2" xfId="5094"/>
    <cellStyle name="Обычный 4 40 2 3" xfId="4206"/>
    <cellStyle name="Обычный 4 40 3" xfId="2198"/>
    <cellStyle name="Обычный 4 40 3 2" xfId="3370"/>
    <cellStyle name="Обычный 4 40 3 2 2" xfId="5147"/>
    <cellStyle name="Обычный 4 40 3 3" xfId="4259"/>
    <cellStyle name="Обычный 4 40 4" xfId="2284"/>
    <cellStyle name="Обычный 4 40 4 2" xfId="3423"/>
    <cellStyle name="Обычный 4 40 4 2 2" xfId="5200"/>
    <cellStyle name="Обычный 4 40 4 3" xfId="4312"/>
    <cellStyle name="Обычный 4 40 5" xfId="2368"/>
    <cellStyle name="Обычный 4 40 5 2" xfId="3476"/>
    <cellStyle name="Обычный 4 40 5 2 2" xfId="5253"/>
    <cellStyle name="Обычный 4 40 5 3" xfId="4365"/>
    <cellStyle name="Обычный 4 40 6" xfId="2452"/>
    <cellStyle name="Обычный 4 40 6 2" xfId="3529"/>
    <cellStyle name="Обычный 4 40 6 2 2" xfId="5306"/>
    <cellStyle name="Обычный 4 40 6 3" xfId="4418"/>
    <cellStyle name="Обычный 4 40 7" xfId="2535"/>
    <cellStyle name="Обычный 4 40 7 2" xfId="3582"/>
    <cellStyle name="Обычный 4 40 7 2 2" xfId="5359"/>
    <cellStyle name="Обычный 4 40 7 3" xfId="4471"/>
    <cellStyle name="Обычный 4 40 8" xfId="2616"/>
    <cellStyle name="Обычный 4 40 8 2" xfId="3634"/>
    <cellStyle name="Обычный 4 40 8 2 2" xfId="5411"/>
    <cellStyle name="Обычный 4 40 8 3" xfId="4523"/>
    <cellStyle name="Обычный 4 40 9" xfId="2694"/>
    <cellStyle name="Обычный 4 40 9 2" xfId="3685"/>
    <cellStyle name="Обычный 4 40 9 2 2" xfId="5462"/>
    <cellStyle name="Обычный 4 40 9 3" xfId="4574"/>
    <cellStyle name="Обычный 4 41" xfId="1406"/>
    <cellStyle name="Обычный 4 42" xfId="1770"/>
    <cellStyle name="Обычный 4 43" xfId="1178"/>
    <cellStyle name="Обычный 4 44" xfId="1819"/>
    <cellStyle name="Обычный 4 45" xfId="684"/>
    <cellStyle name="Обычный 4 46" xfId="1873"/>
    <cellStyle name="Обычный 4 47" xfId="882"/>
    <cellStyle name="Обычный 4 48" xfId="1916"/>
    <cellStyle name="Обычный 4 49" xfId="1346"/>
    <cellStyle name="Обычный 4 5" xfId="652"/>
    <cellStyle name="Обычный 4 5 10" xfId="985"/>
    <cellStyle name="Обычный 4 5 11" xfId="1001"/>
    <cellStyle name="Обычный 4 5 12" xfId="1017"/>
    <cellStyle name="Обычный 4 5 13" xfId="1033"/>
    <cellStyle name="Обычный 4 5 14" xfId="1049"/>
    <cellStyle name="Обычный 4 5 15" xfId="698"/>
    <cellStyle name="Обычный 4 5 16" xfId="1389"/>
    <cellStyle name="Обычный 4 5 17" xfId="1185"/>
    <cellStyle name="Обычный 4 5 18" xfId="1420"/>
    <cellStyle name="Обычный 4 5 19" xfId="910"/>
    <cellStyle name="Обычный 4 5 2" xfId="730"/>
    <cellStyle name="Обычный 4 5 2 10" xfId="1148"/>
    <cellStyle name="Обычный 4 5 2 11" xfId="1585"/>
    <cellStyle name="Обычный 4 5 2 12" xfId="1204"/>
    <cellStyle name="Обычный 4 5 2 13" xfId="1639"/>
    <cellStyle name="Обычный 4 5 2 14" xfId="1253"/>
    <cellStyle name="Обычный 4 5 2 15" xfId="1694"/>
    <cellStyle name="Обычный 4 5 2 16" xfId="1229"/>
    <cellStyle name="Обычный 4 5 2 17" xfId="1751"/>
    <cellStyle name="Обычный 4 5 2 18" xfId="1158"/>
    <cellStyle name="Обычный 4 5 2 19" xfId="1799"/>
    <cellStyle name="Обычный 4 5 2 2" xfId="892"/>
    <cellStyle name="Обычный 4 5 2 20" xfId="1339"/>
    <cellStyle name="Обычный 4 5 2 21" xfId="1849"/>
    <cellStyle name="Обычный 4 5 2 22" xfId="1198"/>
    <cellStyle name="Обычный 4 5 2 23" xfId="1893"/>
    <cellStyle name="Обычный 4 5 2 24" xfId="1191"/>
    <cellStyle name="Обычный 4 5 2 25" xfId="1941"/>
    <cellStyle name="Обычный 4 5 2 26" xfId="1457"/>
    <cellStyle name="Обычный 4 5 2 27" xfId="1982"/>
    <cellStyle name="Обычный 4 5 2 28" xfId="2006"/>
    <cellStyle name="Обычный 4 5 2 29" xfId="1300"/>
    <cellStyle name="Обычный 4 5 2 3" xfId="1238"/>
    <cellStyle name="Обычный 4 5 2 30" xfId="1746"/>
    <cellStyle name="Обычный 4 5 2 31" xfId="1993"/>
    <cellStyle name="Обычный 4 5 2 32" xfId="1682"/>
    <cellStyle name="Обычный 4 5 2 33" xfId="1658"/>
    <cellStyle name="Обычный 4 5 2 34" xfId="1958"/>
    <cellStyle name="Обычный 4 5 2 35" xfId="1579"/>
    <cellStyle name="Обычный 4 5 2 36" xfId="1875"/>
    <cellStyle name="Обычный 4 5 2 37" xfId="1463"/>
    <cellStyle name="Обычный 4 5 2 38" xfId="1739"/>
    <cellStyle name="Обычный 4 5 2 39" xfId="1580"/>
    <cellStyle name="Обычный 4 5 2 4" xfId="1294"/>
    <cellStyle name="Обычный 4 5 2 40" xfId="1943"/>
    <cellStyle name="Обычный 4 5 2 5" xfId="1192"/>
    <cellStyle name="Обычный 4 5 2 6" xfId="1387"/>
    <cellStyle name="Обычный 4 5 2 7" xfId="1468"/>
    <cellStyle name="Обычный 4 5 2 8" xfId="1155"/>
    <cellStyle name="Обычный 4 5 2 9" xfId="1525"/>
    <cellStyle name="Обычный 4 5 20" xfId="1415"/>
    <cellStyle name="Обычный 4 5 21" xfId="1171"/>
    <cellStyle name="Обычный 4 5 22" xfId="1325"/>
    <cellStyle name="Обычный 4 5 23" xfId="1189"/>
    <cellStyle name="Обычный 4 5 24" xfId="1471"/>
    <cellStyle name="Обычный 4 5 25" xfId="1330"/>
    <cellStyle name="Обычный 4 5 26" xfId="1528"/>
    <cellStyle name="Обычный 4 5 27" xfId="1475"/>
    <cellStyle name="Обычный 4 5 28" xfId="1588"/>
    <cellStyle name="Обычный 4 5 29" xfId="1532"/>
    <cellStyle name="Обычный 4 5 3" xfId="937"/>
    <cellStyle name="Обычный 4 5 30" xfId="1642"/>
    <cellStyle name="Обычный 4 5 31" xfId="1592"/>
    <cellStyle name="Обычный 4 5 32" xfId="1697"/>
    <cellStyle name="Обычный 4 5 33" xfId="1646"/>
    <cellStyle name="Обычный 4 5 34" xfId="1754"/>
    <cellStyle name="Обычный 4 5 35" xfId="1701"/>
    <cellStyle name="Обычный 4 5 36" xfId="1801"/>
    <cellStyle name="Обычный 4 5 37" xfId="1757"/>
    <cellStyle name="Обычный 4 5 38" xfId="1852"/>
    <cellStyle name="Обычный 4 5 39" xfId="1802"/>
    <cellStyle name="Обычный 4 5 4" xfId="917"/>
    <cellStyle name="Обычный 4 5 40" xfId="1508"/>
    <cellStyle name="Обычный 4 5 41" xfId="1831"/>
    <cellStyle name="Обычный 4 5 42" xfId="1949"/>
    <cellStyle name="Обычный 4 5 43" xfId="1854"/>
    <cellStyle name="Обычный 4 5 44" xfId="2034"/>
    <cellStyle name="Обычный 4 5 45" xfId="2121"/>
    <cellStyle name="Обычный 4 5 46" xfId="2208"/>
    <cellStyle name="Обычный 4 5 47" xfId="2293"/>
    <cellStyle name="Обычный 4 5 48" xfId="2377"/>
    <cellStyle name="Обычный 4 5 49" xfId="2460"/>
    <cellStyle name="Обычный 4 5 5" xfId="920"/>
    <cellStyle name="Обычный 4 5 50" xfId="2541"/>
    <cellStyle name="Обычный 4 5 51" xfId="2622"/>
    <cellStyle name="Обычный 4 5 52" xfId="2700"/>
    <cellStyle name="Обычный 4 5 6" xfId="915"/>
    <cellStyle name="Обычный 4 5 7" xfId="933"/>
    <cellStyle name="Обычный 4 5 8" xfId="951"/>
    <cellStyle name="Обычный 4 5 9" xfId="968"/>
    <cellStyle name="Обычный 4 50" xfId="1962"/>
    <cellStyle name="Обычный 4 51" xfId="1313"/>
    <cellStyle name="Обычный 4 52" xfId="1996"/>
    <cellStyle name="Обычный 4 53" xfId="1926"/>
    <cellStyle name="Обычный 4 54" xfId="1966"/>
    <cellStyle name="Обычный 4 55" xfId="2001"/>
    <cellStyle name="Обычный 4 56" xfId="1660"/>
    <cellStyle name="Обычный 4 57" xfId="1773"/>
    <cellStyle name="Обычный 4 58" xfId="1843"/>
    <cellStyle name="Обычный 4 59" xfId="1807"/>
    <cellStyle name="Обычный 4 6" xfId="656"/>
    <cellStyle name="Обычный 4 6 10" xfId="1054"/>
    <cellStyle name="Обычный 4 6 11" xfId="1068"/>
    <cellStyle name="Обычный 4 6 12" xfId="1082"/>
    <cellStyle name="Обычный 4 6 13" xfId="1096"/>
    <cellStyle name="Обычный 4 6 14" xfId="1108"/>
    <cellStyle name="Обычный 4 6 15" xfId="694"/>
    <cellStyle name="Обычный 4 6 16" xfId="876"/>
    <cellStyle name="Обычный 4 6 17" xfId="1133"/>
    <cellStyle name="Обычный 4 6 18" xfId="1365"/>
    <cellStyle name="Обычный 4 6 19" xfId="1308"/>
    <cellStyle name="Обычный 4 6 2" xfId="736"/>
    <cellStyle name="Обычный 4 6 2 10" xfId="1303"/>
    <cellStyle name="Обычный 4 6 2 11" xfId="1595"/>
    <cellStyle name="Обычный 4 6 2 12" xfId="1440"/>
    <cellStyle name="Обычный 4 6 2 13" xfId="1649"/>
    <cellStyle name="Обычный 4 6 2 14" xfId="1496"/>
    <cellStyle name="Обычный 4 6 2 15" xfId="1704"/>
    <cellStyle name="Обычный 4 6 2 16" xfId="1554"/>
    <cellStyle name="Обычный 4 6 2 17" xfId="1760"/>
    <cellStyle name="Обычный 4 6 2 18" xfId="1611"/>
    <cellStyle name="Обычный 4 6 2 19" xfId="1804"/>
    <cellStyle name="Обычный 4 6 2 2" xfId="894"/>
    <cellStyle name="Обычный 4 6 2 20" xfId="1667"/>
    <cellStyle name="Обычный 4 6 2 21" xfId="1858"/>
    <cellStyle name="Обычный 4 6 2 22" xfId="1722"/>
    <cellStyle name="Обычный 4 6 2 23" xfId="1901"/>
    <cellStyle name="Обычный 4 6 2 24" xfId="1772"/>
    <cellStyle name="Обычный 4 6 2 25" xfId="1950"/>
    <cellStyle name="Обычный 4 6 2 26" xfId="1821"/>
    <cellStyle name="Обычный 4 6 2 27" xfId="1989"/>
    <cellStyle name="Обычный 4 6 2 28" xfId="1860"/>
    <cellStyle name="Обычный 4 6 2 29" xfId="1897"/>
    <cellStyle name="Обычный 4 6 2 3" xfId="1241"/>
    <cellStyle name="Обычный 4 6 2 30" xfId="1513"/>
    <cellStyle name="Обычный 4 6 2 31" xfId="1909"/>
    <cellStyle name="Обычный 4 6 2 32" xfId="1638"/>
    <cellStyle name="Обычный 4 6 2 33" xfId="1816"/>
    <cellStyle name="Обычный 4 6 2 34" xfId="1885"/>
    <cellStyle name="Обычный 4 6 2 35" xfId="1573"/>
    <cellStyle name="Обычный 4 6 2 36" xfId="1486"/>
    <cellStyle name="Обычный 4 6 2 37" xfId="1865"/>
    <cellStyle name="Обычный 4 6 2 38" xfId="1853"/>
    <cellStyle name="Обычный 4 6 2 39" xfId="1848"/>
    <cellStyle name="Обычный 4 6 2 4" xfId="1394"/>
    <cellStyle name="Обычный 4 6 2 40" xfId="1681"/>
    <cellStyle name="Обычный 4 6 2 5" xfId="1167"/>
    <cellStyle name="Обычный 4 6 2 6" xfId="1152"/>
    <cellStyle name="Обычный 4 6 2 7" xfId="1478"/>
    <cellStyle name="Обычный 4 6 2 8" xfId="1329"/>
    <cellStyle name="Обычный 4 6 2 9" xfId="1535"/>
    <cellStyle name="Обычный 4 6 20" xfId="1151"/>
    <cellStyle name="Обычный 4 6 21" xfId="1460"/>
    <cellStyle name="Обычный 4 6 22" xfId="1219"/>
    <cellStyle name="Обычный 4 6 23" xfId="1516"/>
    <cellStyle name="Обычный 4 6 24" xfId="1355"/>
    <cellStyle name="Обычный 4 6 25" xfId="1576"/>
    <cellStyle name="Обычный 4 6 26" xfId="686"/>
    <cellStyle name="Обычный 4 6 27" xfId="1630"/>
    <cellStyle name="Обычный 4 6 28" xfId="1282"/>
    <cellStyle name="Обычный 4 6 29" xfId="1685"/>
    <cellStyle name="Обычный 4 6 3" xfId="939"/>
    <cellStyle name="Обычный 4 6 30" xfId="1326"/>
    <cellStyle name="Обычный 4 6 31" xfId="1742"/>
    <cellStyle name="Обычный 4 6 32" xfId="1472"/>
    <cellStyle name="Обычный 4 6 33" xfId="1791"/>
    <cellStyle name="Обычный 4 6 34" xfId="1529"/>
    <cellStyle name="Обычный 4 6 35" xfId="1840"/>
    <cellStyle name="Обычный 4 6 36" xfId="1589"/>
    <cellStyle name="Обычный 4 6 37" xfId="1886"/>
    <cellStyle name="Обычный 4 6 38" xfId="1643"/>
    <cellStyle name="Обычный 4 6 39" xfId="1932"/>
    <cellStyle name="Обычный 4 6 4" xfId="956"/>
    <cellStyle name="Обычный 4 6 40" xfId="1889"/>
    <cellStyle name="Обычный 4 6 41" xfId="1969"/>
    <cellStyle name="Обычный 4 6 42" xfId="1332"/>
    <cellStyle name="Обычный 4 6 43" xfId="1946"/>
    <cellStyle name="Обычный 4 6 44" xfId="1311"/>
    <cellStyle name="Обычный 4 6 45" xfId="1952"/>
    <cellStyle name="Обычный 4 6 46" xfId="2015"/>
    <cellStyle name="Обычный 4 6 47" xfId="2020"/>
    <cellStyle name="Обычный 4 6 48" xfId="1882"/>
    <cellStyle name="Обычный 4 6 49" xfId="2009"/>
    <cellStyle name="Обычный 4 6 5" xfId="973"/>
    <cellStyle name="Обычный 4 6 50" xfId="2011"/>
    <cellStyle name="Обычный 4 6 51" xfId="1925"/>
    <cellStyle name="Обычный 4 6 52" xfId="1975"/>
    <cellStyle name="Обычный 4 6 6" xfId="990"/>
    <cellStyle name="Обычный 4 6 7" xfId="1006"/>
    <cellStyle name="Обычный 4 6 8" xfId="1022"/>
    <cellStyle name="Обычный 4 6 9" xfId="1038"/>
    <cellStyle name="Обычный 4 60" xfId="868"/>
    <cellStyle name="Обычный 4 61" xfId="1706"/>
    <cellStyle name="Обычный 4 62" xfId="1272"/>
    <cellStyle name="Обычный 4 63" xfId="1895"/>
    <cellStyle name="Обычный 4 64" xfId="2037"/>
    <cellStyle name="Обычный 4 65" xfId="2124"/>
    <cellStyle name="Обычный 4 66" xfId="625"/>
    <cellStyle name="Обычный 4 66 2" xfId="3144"/>
    <cellStyle name="Обычный 4 66 2 2" xfId="4921"/>
    <cellStyle name="Обычный 4 66 3" xfId="4033"/>
    <cellStyle name="Обычный 4 67" xfId="3063"/>
    <cellStyle name="Обычный 4 7" xfId="660"/>
    <cellStyle name="Обычный 4 7 10" xfId="1056"/>
    <cellStyle name="Обычный 4 7 11" xfId="1070"/>
    <cellStyle name="Обычный 4 7 12" xfId="1084"/>
    <cellStyle name="Обычный 4 7 13" xfId="1098"/>
    <cellStyle name="Обычный 4 7 14" xfId="1109"/>
    <cellStyle name="Обычный 4 7 15" xfId="1118"/>
    <cellStyle name="Обычный 4 7 16" xfId="1154"/>
    <cellStyle name="Обычный 4 7 17" xfId="1299"/>
    <cellStyle name="Обычный 4 7 18" xfId="1348"/>
    <cellStyle name="Обычный 4 7 19" xfId="1454"/>
    <cellStyle name="Обычный 4 7 2" xfId="742"/>
    <cellStyle name="Обычный 4 7 2 10" xfId="1507"/>
    <cellStyle name="Обычный 4 7 2 11" xfId="1289"/>
    <cellStyle name="Обычный 4 7 2 12" xfId="1565"/>
    <cellStyle name="Обычный 4 7 2 13" xfId="1136"/>
    <cellStyle name="Обычный 4 7 2 14" xfId="1621"/>
    <cellStyle name="Обычный 4 7 2 15" xfId="1328"/>
    <cellStyle name="Обычный 4 7 2 16" xfId="1677"/>
    <cellStyle name="Обычный 4 7 2 17" xfId="1474"/>
    <cellStyle name="Обычный 4 7 2 18" xfId="1732"/>
    <cellStyle name="Обычный 4 7 2 19" xfId="1531"/>
    <cellStyle name="Обычный 4 7 2 2" xfId="898"/>
    <cellStyle name="Обычный 4 7 2 20" xfId="1781"/>
    <cellStyle name="Обычный 4 7 2 21" xfId="1591"/>
    <cellStyle name="Обычный 4 7 2 22" xfId="1829"/>
    <cellStyle name="Обычный 4 7 2 23" xfId="1645"/>
    <cellStyle name="Обычный 4 7 2 24" xfId="1879"/>
    <cellStyle name="Обычный 4 7 2 25" xfId="1700"/>
    <cellStyle name="Обычный 4 7 2 26" xfId="1924"/>
    <cellStyle name="Обычный 4 7 2 27" xfId="1756"/>
    <cellStyle name="Обычный 4 7 2 28" xfId="1868"/>
    <cellStyle name="Обычный 4 7 2 29" xfId="2036"/>
    <cellStyle name="Обычный 4 7 2 3" xfId="1244"/>
    <cellStyle name="Обычный 4 7 2 30" xfId="2123"/>
    <cellStyle name="Обычный 4 7 2 31" xfId="2210"/>
    <cellStyle name="Обычный 4 7 2 32" xfId="2295"/>
    <cellStyle name="Обычный 4 7 2 33" xfId="2379"/>
    <cellStyle name="Обычный 4 7 2 34" xfId="2462"/>
    <cellStyle name="Обычный 4 7 2 35" xfId="2543"/>
    <cellStyle name="Обычный 4 7 2 36" xfId="2623"/>
    <cellStyle name="Обычный 4 7 2 37" xfId="2701"/>
    <cellStyle name="Обычный 4 7 2 38" xfId="2774"/>
    <cellStyle name="Обычный 4 7 2 39" xfId="2844"/>
    <cellStyle name="Обычный 4 7 2 4" xfId="1344"/>
    <cellStyle name="Обычный 4 7 2 40" xfId="2913"/>
    <cellStyle name="Обычный 4 7 2 5" xfId="1119"/>
    <cellStyle name="Обычный 4 7 2 6" xfId="1234"/>
    <cellStyle name="Обычный 4 7 2 7" xfId="1286"/>
    <cellStyle name="Обычный 4 7 2 8" xfId="1451"/>
    <cellStyle name="Обычный 4 7 2 9" xfId="1187"/>
    <cellStyle name="Обычный 4 7 20" xfId="1262"/>
    <cellStyle name="Обычный 4 7 21" xfId="1511"/>
    <cellStyle name="Обычный 4 7 22" xfId="1186"/>
    <cellStyle name="Обычный 4 7 23" xfId="1568"/>
    <cellStyle name="Обычный 4 7 24" xfId="1212"/>
    <cellStyle name="Обычный 4 7 25" xfId="1625"/>
    <cellStyle name="Обычный 4 7 26" xfId="1162"/>
    <cellStyle name="Обычный 4 7 27" xfId="1679"/>
    <cellStyle name="Обычный 4 7 28" xfId="1369"/>
    <cellStyle name="Обычный 4 7 29" xfId="1736"/>
    <cellStyle name="Обычный 4 7 3" xfId="941"/>
    <cellStyle name="Обычный 4 7 30" xfId="1396"/>
    <cellStyle name="Обычный 4 7 31" xfId="1784"/>
    <cellStyle name="Обычный 4 7 32" xfId="690"/>
    <cellStyle name="Обычный 4 7 33" xfId="1833"/>
    <cellStyle name="Обычный 4 7 34" xfId="1278"/>
    <cellStyle name="Обычный 4 7 35" xfId="1883"/>
    <cellStyle name="Обычный 4 7 36" xfId="1122"/>
    <cellStyle name="Обычный 4 7 37" xfId="1927"/>
    <cellStyle name="Обычный 4 7 38" xfId="1407"/>
    <cellStyle name="Обычный 4 7 39" xfId="1970"/>
    <cellStyle name="Обычный 4 7 4" xfId="958"/>
    <cellStyle name="Обычный 4 7 40" xfId="1944"/>
    <cellStyle name="Обычный 4 7 41" xfId="1518"/>
    <cellStyle name="Обычный 4 7 42" xfId="1524"/>
    <cellStyle name="Обычный 4 7 43" xfId="1837"/>
    <cellStyle name="Обычный 4 7 44" xfId="2024"/>
    <cellStyle name="Обычный 4 7 45" xfId="1973"/>
    <cellStyle name="Обычный 4 7 46" xfId="1880"/>
    <cellStyle name="Обычный 4 7 47" xfId="1806"/>
    <cellStyle name="Обычный 4 7 48" xfId="2027"/>
    <cellStyle name="Обычный 4 7 49" xfId="2114"/>
    <cellStyle name="Обычный 4 7 5" xfId="975"/>
    <cellStyle name="Обычный 4 7 50" xfId="2201"/>
    <cellStyle name="Обычный 4 7 51" xfId="2287"/>
    <cellStyle name="Обычный 4 7 52" xfId="2371"/>
    <cellStyle name="Обычный 4 7 6" xfId="992"/>
    <cellStyle name="Обычный 4 7 7" xfId="1008"/>
    <cellStyle name="Обычный 4 7 8" xfId="1024"/>
    <cellStyle name="Обычный 4 7 9" xfId="1040"/>
    <cellStyle name="Обычный 4 8" xfId="664"/>
    <cellStyle name="Обычный 4 8 10" xfId="1057"/>
    <cellStyle name="Обычный 4 8 11" xfId="1071"/>
    <cellStyle name="Обычный 4 8 12" xfId="1085"/>
    <cellStyle name="Обычный 4 8 13" xfId="1099"/>
    <cellStyle name="Обычный 4 8 14" xfId="1110"/>
    <cellStyle name="Обычный 4 8 15" xfId="1124"/>
    <cellStyle name="Обычный 4 8 16" xfId="1305"/>
    <cellStyle name="Обычный 4 8 17" xfId="1319"/>
    <cellStyle name="Обычный 4 8 18" xfId="1334"/>
    <cellStyle name="Обычный 4 8 19" xfId="1309"/>
    <cellStyle name="Обычный 4 8 2" xfId="748"/>
    <cellStyle name="Обычный 4 8 2 10" xfId="1519"/>
    <cellStyle name="Обычный 4 8 2 11" xfId="1424"/>
    <cellStyle name="Обычный 4 8 2 12" xfId="1578"/>
    <cellStyle name="Обычный 4 8 2 13" xfId="899"/>
    <cellStyle name="Обычный 4 8 2 14" xfId="1633"/>
    <cellStyle name="Обычный 4 8 2 15" xfId="893"/>
    <cellStyle name="Обычный 4 8 2 16" xfId="1687"/>
    <cellStyle name="Обычный 4 8 2 17" xfId="1362"/>
    <cellStyle name="Обычный 4 8 2 18" xfId="1744"/>
    <cellStyle name="Обычный 4 8 2 19" xfId="1139"/>
    <cellStyle name="Обычный 4 8 2 2" xfId="901"/>
    <cellStyle name="Обычный 4 8 2 20" xfId="1793"/>
    <cellStyle name="Обычный 4 8 2 21" xfId="1227"/>
    <cellStyle name="Обычный 4 8 2 22" xfId="1842"/>
    <cellStyle name="Обычный 4 8 2 23" xfId="1368"/>
    <cellStyle name="Обычный 4 8 2 24" xfId="1888"/>
    <cellStyle name="Обычный 4 8 2 25" xfId="1386"/>
    <cellStyle name="Обычный 4 8 2 26" xfId="1935"/>
    <cellStyle name="Обычный 4 8 2 27" xfId="1456"/>
    <cellStyle name="Обычный 4 8 2 28" xfId="1910"/>
    <cellStyle name="Обычный 4 8 2 29" xfId="1954"/>
    <cellStyle name="Обычный 4 8 2 3" xfId="1246"/>
    <cellStyle name="Обычный 4 8 2 30" xfId="1908"/>
    <cellStyle name="Обычный 4 8 2 31" xfId="1537"/>
    <cellStyle name="Обычный 4 8 2 32" xfId="1539"/>
    <cellStyle name="Обычный 4 8 2 33" xfId="1273"/>
    <cellStyle name="Обычный 4 8 2 34" xfId="2035"/>
    <cellStyle name="Обычный 4 8 2 35" xfId="2122"/>
    <cellStyle name="Обычный 4 8 2 36" xfId="2209"/>
    <cellStyle name="Обычный 4 8 2 37" xfId="2294"/>
    <cellStyle name="Обычный 4 8 2 38" xfId="2378"/>
    <cellStyle name="Обычный 4 8 2 39" xfId="2461"/>
    <cellStyle name="Обычный 4 8 2 4" xfId="1292"/>
    <cellStyle name="Обычный 4 8 2 40" xfId="2542"/>
    <cellStyle name="Обычный 4 8 2 5" xfId="1373"/>
    <cellStyle name="Обычный 4 8 2 6" xfId="1312"/>
    <cellStyle name="Обычный 4 8 2 7" xfId="891"/>
    <cellStyle name="Обычный 4 8 2 8" xfId="1462"/>
    <cellStyle name="Обычный 4 8 2 9" xfId="1414"/>
    <cellStyle name="Обычный 4 8 20" xfId="1267"/>
    <cellStyle name="Обычный 4 8 21" xfId="1461"/>
    <cellStyle name="Обычный 4 8 22" xfId="1116"/>
    <cellStyle name="Обычный 4 8 23" xfId="1517"/>
    <cellStyle name="Обычный 4 8 24" xfId="1455"/>
    <cellStyle name="Обычный 4 8 25" xfId="1577"/>
    <cellStyle name="Обычный 4 8 26" xfId="1512"/>
    <cellStyle name="Обычный 4 8 27" xfId="1631"/>
    <cellStyle name="Обычный 4 8 28" xfId="1569"/>
    <cellStyle name="Обычный 4 8 29" xfId="1686"/>
    <cellStyle name="Обычный 4 8 3" xfId="942"/>
    <cellStyle name="Обычный 4 8 30" xfId="1626"/>
    <cellStyle name="Обычный 4 8 31" xfId="1743"/>
    <cellStyle name="Обычный 4 8 32" xfId="1680"/>
    <cellStyle name="Обычный 4 8 33" xfId="1792"/>
    <cellStyle name="Обычный 4 8 34" xfId="1737"/>
    <cellStyle name="Обычный 4 8 35" xfId="1841"/>
    <cellStyle name="Обычный 4 8 36" xfId="1785"/>
    <cellStyle name="Обычный 4 8 37" xfId="1887"/>
    <cellStyle name="Обычный 4 8 38" xfId="1834"/>
    <cellStyle name="Обычный 4 8 39" xfId="1933"/>
    <cellStyle name="Обычный 4 8 4" xfId="959"/>
    <cellStyle name="Обычный 4 8 40" xfId="1830"/>
    <cellStyle name="Обычный 4 8 41" xfId="1928"/>
    <cellStyle name="Обычный 4 8 42" xfId="1835"/>
    <cellStyle name="Обычный 4 8 43" xfId="1931"/>
    <cellStyle name="Обычный 4 8 44" xfId="1239"/>
    <cellStyle name="Обычный 4 8 45" xfId="1951"/>
    <cellStyle name="Обычный 4 8 46" xfId="1120"/>
    <cellStyle name="Обычный 4 8 47" xfId="1145"/>
    <cellStyle name="Обычный 4 8 48" xfId="1745"/>
    <cellStyle name="Обычный 4 8 49" xfId="1544"/>
    <cellStyle name="Обычный 4 8 5" xfId="976"/>
    <cellStyle name="Обычный 4 8 50" xfId="1988"/>
    <cellStyle name="Обычный 4 8 51" xfId="1939"/>
    <cellStyle name="Обычный 4 8 52" xfId="1999"/>
    <cellStyle name="Обычный 4 8 6" xfId="993"/>
    <cellStyle name="Обычный 4 8 7" xfId="1009"/>
    <cellStyle name="Обычный 4 8 8" xfId="1025"/>
    <cellStyle name="Обычный 4 8 9" xfId="1041"/>
    <cellStyle name="Обычный 4 9" xfId="668"/>
    <cellStyle name="Обычный 4 9 10" xfId="1059"/>
    <cellStyle name="Обычный 4 9 11" xfId="1073"/>
    <cellStyle name="Обычный 4 9 12" xfId="1087"/>
    <cellStyle name="Обычный 4 9 13" xfId="1101"/>
    <cellStyle name="Обычный 4 9 14" xfId="1111"/>
    <cellStyle name="Обычный 4 9 15" xfId="1127"/>
    <cellStyle name="Обычный 4 9 16" xfId="1296"/>
    <cellStyle name="Обычный 4 9 17" xfId="1190"/>
    <cellStyle name="Обычный 4 9 18" xfId="1285"/>
    <cellStyle name="Обычный 4 9 19" xfId="1385"/>
    <cellStyle name="Обычный 4 9 2" xfId="754"/>
    <cellStyle name="Обычный 4 9 2 10" xfId="1431"/>
    <cellStyle name="Обычный 4 9 2 11" xfId="1126"/>
    <cellStyle name="Обычный 4 9 2 12" xfId="1487"/>
    <cellStyle name="Обычный 4 9 2 13" xfId="909"/>
    <cellStyle name="Обычный 4 9 2 14" xfId="1545"/>
    <cellStyle name="Обычный 4 9 2 15" xfId="1380"/>
    <cellStyle name="Обычный 4 9 2 16" xfId="1603"/>
    <cellStyle name="Обычный 4 9 2 17" xfId="1307"/>
    <cellStyle name="Обычный 4 9 2 18" xfId="1659"/>
    <cellStyle name="Обычный 4 9 2 19" xfId="1441"/>
    <cellStyle name="Обычный 4 9 2 2" xfId="903"/>
    <cellStyle name="Обычный 4 9 2 20" xfId="1713"/>
    <cellStyle name="Обычный 4 9 2 21" xfId="1497"/>
    <cellStyle name="Обычный 4 9 2 22" xfId="1765"/>
    <cellStyle name="Обычный 4 9 2 23" xfId="1555"/>
    <cellStyle name="Обычный 4 9 2 24" xfId="1813"/>
    <cellStyle name="Обычный 4 9 2 25" xfId="1612"/>
    <cellStyle name="Обычный 4 9 2 26" xfId="1867"/>
    <cellStyle name="Обычный 4 9 2 27" xfId="1668"/>
    <cellStyle name="Обычный 4 9 2 28" xfId="1572"/>
    <cellStyle name="Обычный 4 9 2 29" xfId="1987"/>
    <cellStyle name="Обычный 4 9 2 3" xfId="1249"/>
    <cellStyle name="Обычный 4 9 2 30" xfId="1947"/>
    <cellStyle name="Обычный 4 9 2 31" xfId="1571"/>
    <cellStyle name="Обычный 4 9 2 32" xfId="2050"/>
    <cellStyle name="Обычный 4 9 2 33" xfId="2137"/>
    <cellStyle name="Обычный 4 9 2 34" xfId="2223"/>
    <cellStyle name="Обычный 4 9 2 35" xfId="2307"/>
    <cellStyle name="Обычный 4 9 2 36" xfId="2391"/>
    <cellStyle name="Обычный 4 9 2 37" xfId="2474"/>
    <cellStyle name="Обычный 4 9 2 38" xfId="2555"/>
    <cellStyle name="Обычный 4 9 2 39" xfId="2633"/>
    <cellStyle name="Обычный 4 9 2 4" xfId="1392"/>
    <cellStyle name="Обычный 4 9 2 40" xfId="2708"/>
    <cellStyle name="Обычный 4 9 2 5" xfId="1172"/>
    <cellStyle name="Обычный 4 9 2 6" xfId="1291"/>
    <cellStyle name="Обычный 4 9 2 7" xfId="1338"/>
    <cellStyle name="Обычный 4 9 2 8" xfId="1340"/>
    <cellStyle name="Обычный 4 9 2 9" xfId="875"/>
    <cellStyle name="Обычный 4 9 20" xfId="1123"/>
    <cellStyle name="Обычный 4 9 21" xfId="1243"/>
    <cellStyle name="Обычный 4 9 22" xfId="1335"/>
    <cellStyle name="Обычный 4 9 23" xfId="1210"/>
    <cellStyle name="Обычный 4 9 24" xfId="1261"/>
    <cellStyle name="Обычный 4 9 25" xfId="1179"/>
    <cellStyle name="Обычный 4 9 26" xfId="1231"/>
    <cellStyle name="Обычный 4 9 27" xfId="879"/>
    <cellStyle name="Обычный 4 9 28" xfId="1398"/>
    <cellStyle name="Обычный 4 9 29" xfId="1448"/>
    <cellStyle name="Обычный 4 9 3" xfId="944"/>
    <cellStyle name="Обычный 4 9 30" xfId="1165"/>
    <cellStyle name="Обычный 4 9 31" xfId="1504"/>
    <cellStyle name="Обычный 4 9 32" xfId="1426"/>
    <cellStyle name="Обычный 4 9 33" xfId="1562"/>
    <cellStyle name="Обычный 4 9 34" xfId="1480"/>
    <cellStyle name="Обычный 4 9 35" xfId="1618"/>
    <cellStyle name="Обычный 4 9 36" xfId="1538"/>
    <cellStyle name="Обычный 4 9 37" xfId="1674"/>
    <cellStyle name="Обычный 4 9 38" xfId="1597"/>
    <cellStyle name="Обычный 4 9 39" xfId="1729"/>
    <cellStyle name="Обычный 4 9 4" xfId="961"/>
    <cellStyle name="Обычный 4 9 40" xfId="1783"/>
    <cellStyle name="Обычный 4 9 41" xfId="1708"/>
    <cellStyle name="Обычный 4 9 42" xfId="2019"/>
    <cellStyle name="Обычный 4 9 43" xfId="1903"/>
    <cellStyle name="Обычный 4 9 44" xfId="1995"/>
    <cellStyle name="Обычный 4 9 45" xfId="2007"/>
    <cellStyle name="Обычный 4 9 46" xfId="1929"/>
    <cellStyle name="Обычный 4 9 47" xfId="2013"/>
    <cellStyle name="Обычный 4 9 48" xfId="1826"/>
    <cellStyle name="Обычный 4 9 49" xfId="1794"/>
    <cellStyle name="Обычный 4 9 5" xfId="978"/>
    <cellStyle name="Обычный 4 9 50" xfId="2028"/>
    <cellStyle name="Обычный 4 9 51" xfId="2115"/>
    <cellStyle name="Обычный 4 9 52" xfId="2202"/>
    <cellStyle name="Обычный 4 9 6" xfId="995"/>
    <cellStyle name="Обычный 4 9 7" xfId="1011"/>
    <cellStyle name="Обычный 4 9 8" xfId="1027"/>
    <cellStyle name="Обычный 4 9 9" xfId="1043"/>
    <cellStyle name="Обычный 40" xfId="738"/>
    <cellStyle name="Обычный 41" xfId="744"/>
    <cellStyle name="Обычный 42" xfId="750"/>
    <cellStyle name="Обычный 43" xfId="756"/>
    <cellStyle name="Обычный 44" xfId="762"/>
    <cellStyle name="Обычный 45" xfId="768"/>
    <cellStyle name="Обычный 46" xfId="774"/>
    <cellStyle name="Обычный 47" xfId="780"/>
    <cellStyle name="Обычный 48" xfId="786"/>
    <cellStyle name="Обычный 49" xfId="934"/>
    <cellStyle name="Обычный 5" xfId="188"/>
    <cellStyle name="Обычный 5 10" xfId="1037"/>
    <cellStyle name="Обычный 5 11" xfId="1053"/>
    <cellStyle name="Обычный 5 12" xfId="1067"/>
    <cellStyle name="Обычный 5 13" xfId="1081"/>
    <cellStyle name="Обычный 5 14" xfId="1095"/>
    <cellStyle name="Обычный 5 15" xfId="1211"/>
    <cellStyle name="Обычный 5 16" xfId="1251"/>
    <cellStyle name="Обычный 5 17" xfId="1370"/>
    <cellStyle name="Обычный 5 18" xfId="1433"/>
    <cellStyle name="Обычный 5 19" xfId="1397"/>
    <cellStyle name="Обычный 5 2" xfId="2"/>
    <cellStyle name="Обычный 5 2 10" xfId="1260"/>
    <cellStyle name="Обычный 5 2 11" xfId="1428"/>
    <cellStyle name="Обычный 5 2 12" xfId="1254"/>
    <cellStyle name="Обычный 5 2 13" xfId="1483"/>
    <cellStyle name="Обычный 5 2 14" xfId="688"/>
    <cellStyle name="Обычный 5 2 15" xfId="1541"/>
    <cellStyle name="Обычный 5 2 16" xfId="1323"/>
    <cellStyle name="Обычный 5 2 17" xfId="1599"/>
    <cellStyle name="Обычный 5 2 18" xfId="1264"/>
    <cellStyle name="Обычный 5 2 19" xfId="1655"/>
    <cellStyle name="Обычный 5 2 2" xfId="873"/>
    <cellStyle name="Обычный 5 2 20" xfId="1138"/>
    <cellStyle name="Обычный 5 2 21" xfId="1710"/>
    <cellStyle name="Обычный 5 2 22" xfId="1134"/>
    <cellStyle name="Обычный 5 2 23" xfId="1763"/>
    <cellStyle name="Обычный 5 2 24" xfId="1163"/>
    <cellStyle name="Обычный 5 2 25" xfId="1811"/>
    <cellStyle name="Обычный 5 2 26" xfId="900"/>
    <cellStyle name="Обычный 5 2 27" xfId="1863"/>
    <cellStyle name="Обычный 5 2 28" xfId="2008"/>
    <cellStyle name="Обычный 5 2 29" xfId="1699"/>
    <cellStyle name="Обычный 5 2 3" xfId="1217"/>
    <cellStyle name="Обычный 5 2 30" xfId="1980"/>
    <cellStyle name="Обычный 5 2 31" xfId="2025"/>
    <cellStyle name="Обычный 5 2 32" xfId="1934"/>
    <cellStyle name="Обычный 5 2 33" xfId="1268"/>
    <cellStyle name="Обычный 5 2 34" xfId="2048"/>
    <cellStyle name="Обычный 5 2 35" xfId="2135"/>
    <cellStyle name="Обычный 5 2 36" xfId="2221"/>
    <cellStyle name="Обычный 5 2 37" xfId="2305"/>
    <cellStyle name="Обычный 5 2 38" xfId="2389"/>
    <cellStyle name="Обычный 5 2 39" xfId="2472"/>
    <cellStyle name="Обычный 5 2 4" xfId="1223"/>
    <cellStyle name="Обычный 5 2 40" xfId="2553"/>
    <cellStyle name="Обычный 5 2 5" xfId="1233"/>
    <cellStyle name="Обычный 5 2 6" xfId="1221"/>
    <cellStyle name="Обычный 5 2 7" xfId="1393"/>
    <cellStyle name="Обычный 5 2 8" xfId="1236"/>
    <cellStyle name="Обычный 5 2 9" xfId="1207"/>
    <cellStyle name="Обычный 5 20" xfId="1489"/>
    <cellStyle name="Обычный 5 21" xfId="1467"/>
    <cellStyle name="Обычный 5 22" xfId="1547"/>
    <cellStyle name="Обычный 5 23" xfId="1523"/>
    <cellStyle name="Обычный 5 24" xfId="1605"/>
    <cellStyle name="Обычный 5 25" xfId="1584"/>
    <cellStyle name="Обычный 5 26" xfId="1661"/>
    <cellStyle name="Обычный 5 27" xfId="1637"/>
    <cellStyle name="Обычный 5 28" xfId="1715"/>
    <cellStyle name="Обычный 5 29" xfId="1693"/>
    <cellStyle name="Обычный 5 3" xfId="189"/>
    <cellStyle name="Обычный 5 3 2" xfId="926"/>
    <cellStyle name="Обычный 5 30" xfId="1766"/>
    <cellStyle name="Обычный 5 31" xfId="1750"/>
    <cellStyle name="Обычный 5 32" xfId="1814"/>
    <cellStyle name="Обычный 5 33" xfId="1798"/>
    <cellStyle name="Обычный 5 34" xfId="1869"/>
    <cellStyle name="Обычный 5 35" xfId="1847"/>
    <cellStyle name="Обычный 5 36" xfId="1911"/>
    <cellStyle name="Обычный 5 37" xfId="1892"/>
    <cellStyle name="Обычный 5 38" xfId="1959"/>
    <cellStyle name="Обычный 5 39" xfId="1940"/>
    <cellStyle name="Обычный 5 4" xfId="234"/>
    <cellStyle name="Обычный 5 4 2" xfId="376"/>
    <cellStyle name="Обычный 5 4 2 2" xfId="510"/>
    <cellStyle name="Обычный 5 4 2 2 2" xfId="4896"/>
    <cellStyle name="Обычный 5 4 2 2 3" xfId="3118"/>
    <cellStyle name="Обычный 5 4 2 3" xfId="4008"/>
    <cellStyle name="Обычный 5 4 2 4" xfId="583"/>
    <cellStyle name="Обычный 5 4 3" xfId="336"/>
    <cellStyle name="Обычный 5 4 3 2" xfId="472"/>
    <cellStyle name="Обычный 5 4 3 3" xfId="938"/>
    <cellStyle name="Обычный 5 4 4" xfId="418"/>
    <cellStyle name="Обычный 5 4 4 2" xfId="4860"/>
    <cellStyle name="Обычный 5 4 4 3" xfId="3081"/>
    <cellStyle name="Обычный 5 4 5" xfId="3972"/>
    <cellStyle name="Обычный 5 4 6" xfId="547"/>
    <cellStyle name="Обычный 5 40" xfId="629"/>
    <cellStyle name="Обычный 5 41" xfId="3064"/>
    <cellStyle name="Обычный 5 41 2" xfId="4843"/>
    <cellStyle name="Обычный 5 42" xfId="3955"/>
    <cellStyle name="Обычный 5 43" xfId="530"/>
    <cellStyle name="Обычный 5 5" xfId="265"/>
    <cellStyle name="Обычный 5 5 2" xfId="358"/>
    <cellStyle name="Обычный 5 5 2 2" xfId="493"/>
    <cellStyle name="Обычный 5 5 2 3" xfId="955"/>
    <cellStyle name="Обычный 5 5 3" xfId="3101"/>
    <cellStyle name="Обычный 5 5 3 2" xfId="4879"/>
    <cellStyle name="Обычный 5 5 4" xfId="3991"/>
    <cellStyle name="Обычный 5 5 5" xfId="566"/>
    <cellStyle name="Обычный 5 6" xfId="318"/>
    <cellStyle name="Обычный 5 6 2" xfId="454"/>
    <cellStyle name="Обычный 5 6 3" xfId="972"/>
    <cellStyle name="Обычный 5 7" xfId="401"/>
    <cellStyle name="Обычный 5 7 2" xfId="989"/>
    <cellStyle name="Обычный 5 8" xfId="1005"/>
    <cellStyle name="Обычный 5 9" xfId="1021"/>
    <cellStyle name="Обычный 50" xfId="949"/>
    <cellStyle name="Обычный 51" xfId="966"/>
    <cellStyle name="Обычный 52" xfId="983"/>
    <cellStyle name="Обычный 53" xfId="3043"/>
    <cellStyle name="Обычный 53 10" xfId="2705"/>
    <cellStyle name="Обычный 53 11" xfId="2777"/>
    <cellStyle name="Обычный 53 12" xfId="2847"/>
    <cellStyle name="Обычный 53 13" xfId="2916"/>
    <cellStyle name="Обычный 53 14" xfId="2979"/>
    <cellStyle name="Обычный 53 15" xfId="3935"/>
    <cellStyle name="Обычный 53 15 2" xfId="5712"/>
    <cellStyle name="Обычный 53 16" xfId="4824"/>
    <cellStyle name="Обычный 53 2" xfId="2046"/>
    <cellStyle name="Обычный 53 3" xfId="2133"/>
    <cellStyle name="Обычный 53 4" xfId="2219"/>
    <cellStyle name="Обычный 53 5" xfId="2303"/>
    <cellStyle name="Обычный 53 6" xfId="2387"/>
    <cellStyle name="Обычный 53 7" xfId="2470"/>
    <cellStyle name="Обычный 53 8" xfId="2551"/>
    <cellStyle name="Обычный 53 9" xfId="2630"/>
    <cellStyle name="Обычный 54" xfId="3042"/>
    <cellStyle name="Обычный 54 10" xfId="2711"/>
    <cellStyle name="Обычный 54 11" xfId="2781"/>
    <cellStyle name="Обычный 54 12" xfId="2851"/>
    <cellStyle name="Обычный 54 13" xfId="2919"/>
    <cellStyle name="Обычный 54 14" xfId="2981"/>
    <cellStyle name="Обычный 54 15" xfId="3934"/>
    <cellStyle name="Обычный 54 15 2" xfId="5711"/>
    <cellStyle name="Обычный 54 16" xfId="4823"/>
    <cellStyle name="Обычный 54 2" xfId="2053"/>
    <cellStyle name="Обычный 54 3" xfId="2140"/>
    <cellStyle name="Обычный 54 4" xfId="2226"/>
    <cellStyle name="Обычный 54 5" xfId="2310"/>
    <cellStyle name="Обычный 54 6" xfId="2394"/>
    <cellStyle name="Обычный 54 7" xfId="2477"/>
    <cellStyle name="Обычный 54 8" xfId="2558"/>
    <cellStyle name="Обычный 54 9" xfId="2636"/>
    <cellStyle name="Обычный 55" xfId="3045"/>
    <cellStyle name="Обычный 55 10" xfId="2712"/>
    <cellStyle name="Обычный 55 11" xfId="2782"/>
    <cellStyle name="Обычный 55 12" xfId="2852"/>
    <cellStyle name="Обычный 55 13" xfId="2920"/>
    <cellStyle name="Обычный 55 14" xfId="2982"/>
    <cellStyle name="Обычный 55 15" xfId="3937"/>
    <cellStyle name="Обычный 55 15 2" xfId="5714"/>
    <cellStyle name="Обычный 55 16" xfId="4826"/>
    <cellStyle name="Обычный 55 2" xfId="2054"/>
    <cellStyle name="Обычный 55 3" xfId="2141"/>
    <cellStyle name="Обычный 55 4" xfId="2227"/>
    <cellStyle name="Обычный 55 5" xfId="2311"/>
    <cellStyle name="Обычный 55 6" xfId="2395"/>
    <cellStyle name="Обычный 55 7" xfId="2478"/>
    <cellStyle name="Обычный 55 8" xfId="2559"/>
    <cellStyle name="Обычный 55 9" xfId="2637"/>
    <cellStyle name="Обычный 56" xfId="3046"/>
    <cellStyle name="Обычный 56 10" xfId="2713"/>
    <cellStyle name="Обычный 56 11" xfId="2783"/>
    <cellStyle name="Обычный 56 12" xfId="2853"/>
    <cellStyle name="Обычный 56 13" xfId="2921"/>
    <cellStyle name="Обычный 56 14" xfId="2983"/>
    <cellStyle name="Обычный 56 15" xfId="3938"/>
    <cellStyle name="Обычный 56 15 2" xfId="5715"/>
    <cellStyle name="Обычный 56 16" xfId="4827"/>
    <cellStyle name="Обычный 56 2" xfId="2055"/>
    <cellStyle name="Обычный 56 3" xfId="2142"/>
    <cellStyle name="Обычный 56 4" xfId="2228"/>
    <cellStyle name="Обычный 56 5" xfId="2312"/>
    <cellStyle name="Обычный 56 6" xfId="2396"/>
    <cellStyle name="Обычный 56 7" xfId="2479"/>
    <cellStyle name="Обычный 56 8" xfId="2560"/>
    <cellStyle name="Обычный 56 9" xfId="2638"/>
    <cellStyle name="Обычный 57" xfId="3044"/>
    <cellStyle name="Обычный 57 10" xfId="2718"/>
    <cellStyle name="Обычный 57 11" xfId="2788"/>
    <cellStyle name="Обычный 57 12" xfId="2858"/>
    <cellStyle name="Обычный 57 13" xfId="2926"/>
    <cellStyle name="Обычный 57 14" xfId="2988"/>
    <cellStyle name="Обычный 57 15" xfId="3936"/>
    <cellStyle name="Обычный 57 15 2" xfId="5713"/>
    <cellStyle name="Обычный 57 16" xfId="4825"/>
    <cellStyle name="Обычный 57 2" xfId="2060"/>
    <cellStyle name="Обычный 57 3" xfId="2147"/>
    <cellStyle name="Обычный 57 4" xfId="2233"/>
    <cellStyle name="Обычный 57 5" xfId="2317"/>
    <cellStyle name="Обычный 57 6" xfId="2401"/>
    <cellStyle name="Обычный 57 7" xfId="2484"/>
    <cellStyle name="Обычный 57 8" xfId="2565"/>
    <cellStyle name="Обычный 57 9" xfId="2643"/>
    <cellStyle name="Обычный 58" xfId="603"/>
    <cellStyle name="Обычный 58 10" xfId="2723"/>
    <cellStyle name="Обычный 58 11" xfId="2793"/>
    <cellStyle name="Обычный 58 12" xfId="2863"/>
    <cellStyle name="Обычный 58 13" xfId="2931"/>
    <cellStyle name="Обычный 58 14" xfId="2993"/>
    <cellStyle name="Обычный 58 15" xfId="3138"/>
    <cellStyle name="Обычный 58 15 2" xfId="4915"/>
    <cellStyle name="Обычный 58 16" xfId="4027"/>
    <cellStyle name="Обычный 58 2" xfId="2065"/>
    <cellStyle name="Обычный 58 3" xfId="2152"/>
    <cellStyle name="Обычный 58 4" xfId="2238"/>
    <cellStyle name="Обычный 58 5" xfId="2322"/>
    <cellStyle name="Обычный 58 6" xfId="2406"/>
    <cellStyle name="Обычный 58 7" xfId="2489"/>
    <cellStyle name="Обычный 58 8" xfId="2570"/>
    <cellStyle name="Обычный 58 9" xfId="2648"/>
    <cellStyle name="Обычный 59" xfId="3047"/>
    <cellStyle name="Обычный 59 10" xfId="2728"/>
    <cellStyle name="Обычный 59 11" xfId="2798"/>
    <cellStyle name="Обычный 59 12" xfId="2868"/>
    <cellStyle name="Обычный 59 13" xfId="2936"/>
    <cellStyle name="Обычный 59 14" xfId="2998"/>
    <cellStyle name="Обычный 59 15" xfId="3940"/>
    <cellStyle name="Обычный 59 15 2" xfId="5716"/>
    <cellStyle name="Обычный 59 16" xfId="4828"/>
    <cellStyle name="Обычный 59 2" xfId="2070"/>
    <cellStyle name="Обычный 59 3" xfId="2157"/>
    <cellStyle name="Обычный 59 4" xfId="2243"/>
    <cellStyle name="Обычный 59 5" xfId="2327"/>
    <cellStyle name="Обычный 59 6" xfId="2411"/>
    <cellStyle name="Обычный 59 7" xfId="2494"/>
    <cellStyle name="Обычный 59 8" xfId="2575"/>
    <cellStyle name="Обычный 59 9" xfId="2653"/>
    <cellStyle name="Обычный 6" xfId="190"/>
    <cellStyle name="Обычный 6 10" xfId="769"/>
    <cellStyle name="Обычный 6 11" xfId="775"/>
    <cellStyle name="Обычный 6 12" xfId="781"/>
    <cellStyle name="Обычный 6 13" xfId="787"/>
    <cellStyle name="Обычный 6 14" xfId="789"/>
    <cellStyle name="Обычный 6 15" xfId="871"/>
    <cellStyle name="Обычный 6 15 2" xfId="3171"/>
    <cellStyle name="Обычный 6 15 2 2" xfId="4948"/>
    <cellStyle name="Обычный 6 15 3" xfId="4060"/>
    <cellStyle name="Обычный 6 16" xfId="924"/>
    <cellStyle name="Обычный 6 16 2" xfId="3176"/>
    <cellStyle name="Обычный 6 16 2 2" xfId="4953"/>
    <cellStyle name="Обычный 6 16 3" xfId="4065"/>
    <cellStyle name="Обычный 6 17" xfId="943"/>
    <cellStyle name="Обычный 6 17 2" xfId="3177"/>
    <cellStyle name="Обычный 6 17 2 2" xfId="4954"/>
    <cellStyle name="Обычный 6 17 3" xfId="4066"/>
    <cellStyle name="Обычный 6 18" xfId="960"/>
    <cellStyle name="Обычный 6 18 2" xfId="3181"/>
    <cellStyle name="Обычный 6 18 2 2" xfId="4958"/>
    <cellStyle name="Обычный 6 18 3" xfId="4070"/>
    <cellStyle name="Обычный 6 19" xfId="977"/>
    <cellStyle name="Обычный 6 19 2" xfId="3185"/>
    <cellStyle name="Обычный 6 19 2 2" xfId="4962"/>
    <cellStyle name="Обычный 6 19 3" xfId="4074"/>
    <cellStyle name="Обычный 6 2" xfId="191"/>
    <cellStyle name="Обычный 6 2 2" xfId="192"/>
    <cellStyle name="Обычный 6 2 3" xfId="795"/>
    <cellStyle name="Обычный 6 20" xfId="994"/>
    <cellStyle name="Обычный 6 20 2" xfId="3189"/>
    <cellStyle name="Обычный 6 20 2 2" xfId="4966"/>
    <cellStyle name="Обычный 6 20 3" xfId="4078"/>
    <cellStyle name="Обычный 6 21" xfId="1010"/>
    <cellStyle name="Обычный 6 21 2" xfId="3193"/>
    <cellStyle name="Обычный 6 21 2 2" xfId="4970"/>
    <cellStyle name="Обычный 6 21 3" xfId="4082"/>
    <cellStyle name="Обычный 6 22" xfId="1026"/>
    <cellStyle name="Обычный 6 22 2" xfId="3197"/>
    <cellStyle name="Обычный 6 22 2 2" xfId="4974"/>
    <cellStyle name="Обычный 6 22 3" xfId="4086"/>
    <cellStyle name="Обычный 6 23" xfId="1042"/>
    <cellStyle name="Обычный 6 23 2" xfId="3201"/>
    <cellStyle name="Обычный 6 23 2 2" xfId="4978"/>
    <cellStyle name="Обычный 6 23 3" xfId="4090"/>
    <cellStyle name="Обычный 6 24" xfId="1058"/>
    <cellStyle name="Обычный 6 24 2" xfId="3205"/>
    <cellStyle name="Обычный 6 24 2 2" xfId="4982"/>
    <cellStyle name="Обычный 6 24 3" xfId="4094"/>
    <cellStyle name="Обычный 6 25" xfId="1072"/>
    <cellStyle name="Обычный 6 25 2" xfId="3209"/>
    <cellStyle name="Обычный 6 25 2 2" xfId="4986"/>
    <cellStyle name="Обычный 6 25 3" xfId="4098"/>
    <cellStyle name="Обычный 6 26" xfId="1086"/>
    <cellStyle name="Обычный 6 26 2" xfId="3213"/>
    <cellStyle name="Обычный 6 26 2 2" xfId="4990"/>
    <cellStyle name="Обычный 6 26 3" xfId="4102"/>
    <cellStyle name="Обычный 6 27" xfId="1100"/>
    <cellStyle name="Обычный 6 27 2" xfId="3217"/>
    <cellStyle name="Обычный 6 27 2 2" xfId="4994"/>
    <cellStyle name="Обычный 6 27 3" xfId="4106"/>
    <cellStyle name="Обычный 6 28" xfId="1159"/>
    <cellStyle name="Обычный 6 28 10" xfId="2296"/>
    <cellStyle name="Обычный 6 28 10 2" xfId="3426"/>
    <cellStyle name="Обычный 6 28 10 2 2" xfId="5203"/>
    <cellStyle name="Обычный 6 28 10 3" xfId="4315"/>
    <cellStyle name="Обычный 6 28 11" xfId="2380"/>
    <cellStyle name="Обычный 6 28 11 2" xfId="3479"/>
    <cellStyle name="Обычный 6 28 11 2 2" xfId="5256"/>
    <cellStyle name="Обычный 6 28 11 3" xfId="4368"/>
    <cellStyle name="Обычный 6 28 12" xfId="2463"/>
    <cellStyle name="Обычный 6 28 12 2" xfId="3532"/>
    <cellStyle name="Обычный 6 28 12 2 2" xfId="5309"/>
    <cellStyle name="Обычный 6 28 12 3" xfId="4421"/>
    <cellStyle name="Обычный 6 28 13" xfId="2544"/>
    <cellStyle name="Обычный 6 28 13 2" xfId="3584"/>
    <cellStyle name="Обычный 6 28 13 2 2" xfId="5361"/>
    <cellStyle name="Обычный 6 28 13 3" xfId="4473"/>
    <cellStyle name="Обычный 6 28 14" xfId="2624"/>
    <cellStyle name="Обычный 6 28 14 2" xfId="3636"/>
    <cellStyle name="Обычный 6 28 14 2 2" xfId="5413"/>
    <cellStyle name="Обычный 6 28 14 3" xfId="4525"/>
    <cellStyle name="Обычный 6 28 2" xfId="1965"/>
    <cellStyle name="Обычный 6 28 2 2" xfId="3255"/>
    <cellStyle name="Обычный 6 28 2 2 2" xfId="5032"/>
    <cellStyle name="Обычный 6 28 2 3" xfId="4144"/>
    <cellStyle name="Обычный 6 28 3" xfId="1698"/>
    <cellStyle name="Обычный 6 28 3 2" xfId="3241"/>
    <cellStyle name="Обычный 6 28 3 2 2" xfId="5018"/>
    <cellStyle name="Обычный 6 28 3 3" xfId="4130"/>
    <cellStyle name="Обычный 6 28 4" xfId="1653"/>
    <cellStyle name="Обычный 6 28 4 2" xfId="3238"/>
    <cellStyle name="Обычный 6 28 4 2 2" xfId="5015"/>
    <cellStyle name="Обычный 6 28 4 3" xfId="4127"/>
    <cellStyle name="Обычный 6 28 5" xfId="1857"/>
    <cellStyle name="Обычный 6 28 5 2" xfId="3250"/>
    <cellStyle name="Обычный 6 28 5 2 2" xfId="5027"/>
    <cellStyle name="Обычный 6 28 5 3" xfId="4139"/>
    <cellStyle name="Обычный 6 28 6" xfId="696"/>
    <cellStyle name="Обычный 6 28 6 2" xfId="3168"/>
    <cellStyle name="Обычный 6 28 6 2 2" xfId="4945"/>
    <cellStyle name="Обычный 6 28 6 3" xfId="4057"/>
    <cellStyle name="Обычный 6 28 7" xfId="2038"/>
    <cellStyle name="Обычный 6 28 7 2" xfId="3267"/>
    <cellStyle name="Обычный 6 28 7 2 2" xfId="5044"/>
    <cellStyle name="Обычный 6 28 7 3" xfId="4156"/>
    <cellStyle name="Обычный 6 28 8" xfId="2125"/>
    <cellStyle name="Обычный 6 28 8 2" xfId="3320"/>
    <cellStyle name="Обычный 6 28 8 2 2" xfId="5097"/>
    <cellStyle name="Обычный 6 28 8 3" xfId="4209"/>
    <cellStyle name="Обычный 6 28 9" xfId="2211"/>
    <cellStyle name="Обычный 6 28 9 2" xfId="3373"/>
    <cellStyle name="Обычный 6 28 9 2 2" xfId="5150"/>
    <cellStyle name="Обычный 6 28 9 3" xfId="4262"/>
    <cellStyle name="Обычный 6 29" xfId="1377"/>
    <cellStyle name="Обычный 6 29 10" xfId="2717"/>
    <cellStyle name="Обычный 6 29 10 2" xfId="3692"/>
    <cellStyle name="Обычный 6 29 10 2 2" xfId="5469"/>
    <cellStyle name="Обычный 6 29 10 3" xfId="4581"/>
    <cellStyle name="Обычный 6 29 11" xfId="2787"/>
    <cellStyle name="Обычный 6 29 11 2" xfId="3741"/>
    <cellStyle name="Обычный 6 29 11 2 2" xfId="5518"/>
    <cellStyle name="Обычный 6 29 11 3" xfId="4630"/>
    <cellStyle name="Обычный 6 29 12" xfId="2857"/>
    <cellStyle name="Обычный 6 29 12 2" xfId="3790"/>
    <cellStyle name="Обычный 6 29 12 2 2" xfId="5567"/>
    <cellStyle name="Обычный 6 29 12 3" xfId="4679"/>
    <cellStyle name="Обычный 6 29 13" xfId="2925"/>
    <cellStyle name="Обычный 6 29 13 2" xfId="3839"/>
    <cellStyle name="Обычный 6 29 13 2 2" xfId="5616"/>
    <cellStyle name="Обычный 6 29 13 3" xfId="4728"/>
    <cellStyle name="Обычный 6 29 14" xfId="2987"/>
    <cellStyle name="Обычный 6 29 14 2" xfId="3888"/>
    <cellStyle name="Обычный 6 29 14 2 2" xfId="5665"/>
    <cellStyle name="Обычный 6 29 14 3" xfId="4777"/>
    <cellStyle name="Обычный 6 29 2" xfId="2059"/>
    <cellStyle name="Обычный 6 29 2 2" xfId="3274"/>
    <cellStyle name="Обычный 6 29 2 2 2" xfId="5051"/>
    <cellStyle name="Обычный 6 29 2 3" xfId="4163"/>
    <cellStyle name="Обычный 6 29 3" xfId="2146"/>
    <cellStyle name="Обычный 6 29 3 2" xfId="3327"/>
    <cellStyle name="Обычный 6 29 3 2 2" xfId="5104"/>
    <cellStyle name="Обычный 6 29 3 3" xfId="4216"/>
    <cellStyle name="Обычный 6 29 4" xfId="2232"/>
    <cellStyle name="Обычный 6 29 4 2" xfId="3380"/>
    <cellStyle name="Обычный 6 29 4 2 2" xfId="5157"/>
    <cellStyle name="Обычный 6 29 4 3" xfId="4269"/>
    <cellStyle name="Обычный 6 29 5" xfId="2316"/>
    <cellStyle name="Обычный 6 29 5 2" xfId="3433"/>
    <cellStyle name="Обычный 6 29 5 2 2" xfId="5210"/>
    <cellStyle name="Обычный 6 29 5 3" xfId="4322"/>
    <cellStyle name="Обычный 6 29 6" xfId="2400"/>
    <cellStyle name="Обычный 6 29 6 2" xfId="3486"/>
    <cellStyle name="Обычный 6 29 6 2 2" xfId="5263"/>
    <cellStyle name="Обычный 6 29 6 3" xfId="4375"/>
    <cellStyle name="Обычный 6 29 7" xfId="2483"/>
    <cellStyle name="Обычный 6 29 7 2" xfId="3539"/>
    <cellStyle name="Обычный 6 29 7 2 2" xfId="5316"/>
    <cellStyle name="Обычный 6 29 7 3" xfId="4428"/>
    <cellStyle name="Обычный 6 29 8" xfId="2564"/>
    <cellStyle name="Обычный 6 29 8 2" xfId="3591"/>
    <cellStyle name="Обычный 6 29 8 2 2" xfId="5368"/>
    <cellStyle name="Обычный 6 29 8 3" xfId="4480"/>
    <cellStyle name="Обычный 6 29 9" xfId="2642"/>
    <cellStyle name="Обычный 6 29 9 2" xfId="3642"/>
    <cellStyle name="Обычный 6 29 9 2 2" xfId="5419"/>
    <cellStyle name="Обычный 6 29 9 3" xfId="4531"/>
    <cellStyle name="Обычный 6 3" xfId="193"/>
    <cellStyle name="Обычный 6 3 2" xfId="360"/>
    <cellStyle name="Обычный 6 3 2 2" xfId="387"/>
    <cellStyle name="Обычный 6 3 3" xfId="320"/>
    <cellStyle name="Обычный 6 3 3 2" xfId="456"/>
    <cellStyle name="Обычный 6 3 3 3" xfId="727"/>
    <cellStyle name="Обычный 6 3 4" xfId="384"/>
    <cellStyle name="Обычный 6 30" xfId="1230"/>
    <cellStyle name="Обычный 6 30 10" xfId="2722"/>
    <cellStyle name="Обычный 6 30 10 2" xfId="3696"/>
    <cellStyle name="Обычный 6 30 10 2 2" xfId="5473"/>
    <cellStyle name="Обычный 6 30 10 3" xfId="4585"/>
    <cellStyle name="Обычный 6 30 11" xfId="2792"/>
    <cellStyle name="Обычный 6 30 11 2" xfId="3745"/>
    <cellStyle name="Обычный 6 30 11 2 2" xfId="5522"/>
    <cellStyle name="Обычный 6 30 11 3" xfId="4634"/>
    <cellStyle name="Обычный 6 30 12" xfId="2862"/>
    <cellStyle name="Обычный 6 30 12 2" xfId="3794"/>
    <cellStyle name="Обычный 6 30 12 2 2" xfId="5571"/>
    <cellStyle name="Обычный 6 30 12 3" xfId="4683"/>
    <cellStyle name="Обычный 6 30 13" xfId="2930"/>
    <cellStyle name="Обычный 6 30 13 2" xfId="3843"/>
    <cellStyle name="Обычный 6 30 13 2 2" xfId="5620"/>
    <cellStyle name="Обычный 6 30 13 3" xfId="4732"/>
    <cellStyle name="Обычный 6 30 14" xfId="2992"/>
    <cellStyle name="Обычный 6 30 14 2" xfId="3892"/>
    <cellStyle name="Обычный 6 30 14 2 2" xfId="5669"/>
    <cellStyle name="Обычный 6 30 14 3" xfId="4781"/>
    <cellStyle name="Обычный 6 30 2" xfId="2064"/>
    <cellStyle name="Обычный 6 30 2 2" xfId="3278"/>
    <cellStyle name="Обычный 6 30 2 2 2" xfId="5055"/>
    <cellStyle name="Обычный 6 30 2 3" xfId="4167"/>
    <cellStyle name="Обычный 6 30 3" xfId="2151"/>
    <cellStyle name="Обычный 6 30 3 2" xfId="3331"/>
    <cellStyle name="Обычный 6 30 3 2 2" xfId="5108"/>
    <cellStyle name="Обычный 6 30 3 3" xfId="4220"/>
    <cellStyle name="Обычный 6 30 4" xfId="2237"/>
    <cellStyle name="Обычный 6 30 4 2" xfId="3384"/>
    <cellStyle name="Обычный 6 30 4 2 2" xfId="5161"/>
    <cellStyle name="Обычный 6 30 4 3" xfId="4273"/>
    <cellStyle name="Обычный 6 30 5" xfId="2321"/>
    <cellStyle name="Обычный 6 30 5 2" xfId="3437"/>
    <cellStyle name="Обычный 6 30 5 2 2" xfId="5214"/>
    <cellStyle name="Обычный 6 30 5 3" xfId="4326"/>
    <cellStyle name="Обычный 6 30 6" xfId="2405"/>
    <cellStyle name="Обычный 6 30 6 2" xfId="3490"/>
    <cellStyle name="Обычный 6 30 6 2 2" xfId="5267"/>
    <cellStyle name="Обычный 6 30 6 3" xfId="4379"/>
    <cellStyle name="Обычный 6 30 7" xfId="2488"/>
    <cellStyle name="Обычный 6 30 7 2" xfId="3543"/>
    <cellStyle name="Обычный 6 30 7 2 2" xfId="5320"/>
    <cellStyle name="Обычный 6 30 7 3" xfId="4432"/>
    <cellStyle name="Обычный 6 30 8" xfId="2569"/>
    <cellStyle name="Обычный 6 30 8 2" xfId="3595"/>
    <cellStyle name="Обычный 6 30 8 2 2" xfId="5372"/>
    <cellStyle name="Обычный 6 30 8 3" xfId="4484"/>
    <cellStyle name="Обычный 6 30 9" xfId="2647"/>
    <cellStyle name="Обычный 6 30 9 2" xfId="3646"/>
    <cellStyle name="Обычный 6 30 9 2 2" xfId="5423"/>
    <cellStyle name="Обычный 6 30 9 3" xfId="4535"/>
    <cellStyle name="Обычный 6 31" xfId="1274"/>
    <cellStyle name="Обычный 6 31 10" xfId="2727"/>
    <cellStyle name="Обычный 6 31 10 2" xfId="3700"/>
    <cellStyle name="Обычный 6 31 10 2 2" xfId="5477"/>
    <cellStyle name="Обычный 6 31 10 3" xfId="4589"/>
    <cellStyle name="Обычный 6 31 11" xfId="2797"/>
    <cellStyle name="Обычный 6 31 11 2" xfId="3749"/>
    <cellStyle name="Обычный 6 31 11 2 2" xfId="5526"/>
    <cellStyle name="Обычный 6 31 11 3" xfId="4638"/>
    <cellStyle name="Обычный 6 31 12" xfId="2867"/>
    <cellStyle name="Обычный 6 31 12 2" xfId="3798"/>
    <cellStyle name="Обычный 6 31 12 2 2" xfId="5575"/>
    <cellStyle name="Обычный 6 31 12 3" xfId="4687"/>
    <cellStyle name="Обычный 6 31 13" xfId="2935"/>
    <cellStyle name="Обычный 6 31 13 2" xfId="3847"/>
    <cellStyle name="Обычный 6 31 13 2 2" xfId="5624"/>
    <cellStyle name="Обычный 6 31 13 3" xfId="4736"/>
    <cellStyle name="Обычный 6 31 14" xfId="2997"/>
    <cellStyle name="Обычный 6 31 14 2" xfId="3896"/>
    <cellStyle name="Обычный 6 31 14 2 2" xfId="5673"/>
    <cellStyle name="Обычный 6 31 14 3" xfId="4785"/>
    <cellStyle name="Обычный 6 31 2" xfId="2069"/>
    <cellStyle name="Обычный 6 31 2 2" xfId="3282"/>
    <cellStyle name="Обычный 6 31 2 2 2" xfId="5059"/>
    <cellStyle name="Обычный 6 31 2 3" xfId="4171"/>
    <cellStyle name="Обычный 6 31 3" xfId="2156"/>
    <cellStyle name="Обычный 6 31 3 2" xfId="3335"/>
    <cellStyle name="Обычный 6 31 3 2 2" xfId="5112"/>
    <cellStyle name="Обычный 6 31 3 3" xfId="4224"/>
    <cellStyle name="Обычный 6 31 4" xfId="2242"/>
    <cellStyle name="Обычный 6 31 4 2" xfId="3388"/>
    <cellStyle name="Обычный 6 31 4 2 2" xfId="5165"/>
    <cellStyle name="Обычный 6 31 4 3" xfId="4277"/>
    <cellStyle name="Обычный 6 31 5" xfId="2326"/>
    <cellStyle name="Обычный 6 31 5 2" xfId="3441"/>
    <cellStyle name="Обычный 6 31 5 2 2" xfId="5218"/>
    <cellStyle name="Обычный 6 31 5 3" xfId="4330"/>
    <cellStyle name="Обычный 6 31 6" xfId="2410"/>
    <cellStyle name="Обычный 6 31 6 2" xfId="3494"/>
    <cellStyle name="Обычный 6 31 6 2 2" xfId="5271"/>
    <cellStyle name="Обычный 6 31 6 3" xfId="4383"/>
    <cellStyle name="Обычный 6 31 7" xfId="2493"/>
    <cellStyle name="Обычный 6 31 7 2" xfId="3547"/>
    <cellStyle name="Обычный 6 31 7 2 2" xfId="5324"/>
    <cellStyle name="Обычный 6 31 7 3" xfId="4436"/>
    <cellStyle name="Обычный 6 31 8" xfId="2574"/>
    <cellStyle name="Обычный 6 31 8 2" xfId="3599"/>
    <cellStyle name="Обычный 6 31 8 2 2" xfId="5376"/>
    <cellStyle name="Обычный 6 31 8 3" xfId="4488"/>
    <cellStyle name="Обычный 6 31 9" xfId="2652"/>
    <cellStyle name="Обычный 6 31 9 2" xfId="3650"/>
    <cellStyle name="Обычный 6 31 9 2 2" xfId="5427"/>
    <cellStyle name="Обычный 6 31 9 3" xfId="4539"/>
    <cellStyle name="Обычный 6 32" xfId="1270"/>
    <cellStyle name="Обычный 6 32 10" xfId="2732"/>
    <cellStyle name="Обычный 6 32 10 2" xfId="3704"/>
    <cellStyle name="Обычный 6 32 10 2 2" xfId="5481"/>
    <cellStyle name="Обычный 6 32 10 3" xfId="4593"/>
    <cellStyle name="Обычный 6 32 11" xfId="2802"/>
    <cellStyle name="Обычный 6 32 11 2" xfId="3753"/>
    <cellStyle name="Обычный 6 32 11 2 2" xfId="5530"/>
    <cellStyle name="Обычный 6 32 11 3" xfId="4642"/>
    <cellStyle name="Обычный 6 32 12" xfId="2872"/>
    <cellStyle name="Обычный 6 32 12 2" xfId="3802"/>
    <cellStyle name="Обычный 6 32 12 2 2" xfId="5579"/>
    <cellStyle name="Обычный 6 32 12 3" xfId="4691"/>
    <cellStyle name="Обычный 6 32 13" xfId="2940"/>
    <cellStyle name="Обычный 6 32 13 2" xfId="3851"/>
    <cellStyle name="Обычный 6 32 13 2 2" xfId="5628"/>
    <cellStyle name="Обычный 6 32 13 3" xfId="4740"/>
    <cellStyle name="Обычный 6 32 14" xfId="3002"/>
    <cellStyle name="Обычный 6 32 14 2" xfId="3900"/>
    <cellStyle name="Обычный 6 32 14 2 2" xfId="5677"/>
    <cellStyle name="Обычный 6 32 14 3" xfId="4789"/>
    <cellStyle name="Обычный 6 32 2" xfId="2074"/>
    <cellStyle name="Обычный 6 32 2 2" xfId="3286"/>
    <cellStyle name="Обычный 6 32 2 2 2" xfId="5063"/>
    <cellStyle name="Обычный 6 32 2 3" xfId="4175"/>
    <cellStyle name="Обычный 6 32 3" xfId="2161"/>
    <cellStyle name="Обычный 6 32 3 2" xfId="3339"/>
    <cellStyle name="Обычный 6 32 3 2 2" xfId="5116"/>
    <cellStyle name="Обычный 6 32 3 3" xfId="4228"/>
    <cellStyle name="Обычный 6 32 4" xfId="2247"/>
    <cellStyle name="Обычный 6 32 4 2" xfId="3392"/>
    <cellStyle name="Обычный 6 32 4 2 2" xfId="5169"/>
    <cellStyle name="Обычный 6 32 4 3" xfId="4281"/>
    <cellStyle name="Обычный 6 32 5" xfId="2331"/>
    <cellStyle name="Обычный 6 32 5 2" xfId="3445"/>
    <cellStyle name="Обычный 6 32 5 2 2" xfId="5222"/>
    <cellStyle name="Обычный 6 32 5 3" xfId="4334"/>
    <cellStyle name="Обычный 6 32 6" xfId="2415"/>
    <cellStyle name="Обычный 6 32 6 2" xfId="3498"/>
    <cellStyle name="Обычный 6 32 6 2 2" xfId="5275"/>
    <cellStyle name="Обычный 6 32 6 3" xfId="4387"/>
    <cellStyle name="Обычный 6 32 7" xfId="2498"/>
    <cellStyle name="Обычный 6 32 7 2" xfId="3551"/>
    <cellStyle name="Обычный 6 32 7 2 2" xfId="5328"/>
    <cellStyle name="Обычный 6 32 7 3" xfId="4440"/>
    <cellStyle name="Обычный 6 32 8" xfId="2579"/>
    <cellStyle name="Обычный 6 32 8 2" xfId="3603"/>
    <cellStyle name="Обычный 6 32 8 2 2" xfId="5380"/>
    <cellStyle name="Обычный 6 32 8 3" xfId="4492"/>
    <cellStyle name="Обычный 6 32 9" xfId="2657"/>
    <cellStyle name="Обычный 6 32 9 2" xfId="3654"/>
    <cellStyle name="Обычный 6 32 9 2 2" xfId="5431"/>
    <cellStyle name="Обычный 6 32 9 3" xfId="4543"/>
    <cellStyle name="Обычный 6 33" xfId="890"/>
    <cellStyle name="Обычный 6 33 10" xfId="2737"/>
    <cellStyle name="Обычный 6 33 10 2" xfId="3708"/>
    <cellStyle name="Обычный 6 33 10 2 2" xfId="5485"/>
    <cellStyle name="Обычный 6 33 10 3" xfId="4597"/>
    <cellStyle name="Обычный 6 33 11" xfId="2807"/>
    <cellStyle name="Обычный 6 33 11 2" xfId="3757"/>
    <cellStyle name="Обычный 6 33 11 2 2" xfId="5534"/>
    <cellStyle name="Обычный 6 33 11 3" xfId="4646"/>
    <cellStyle name="Обычный 6 33 12" xfId="2877"/>
    <cellStyle name="Обычный 6 33 12 2" xfId="3806"/>
    <cellStyle name="Обычный 6 33 12 2 2" xfId="5583"/>
    <cellStyle name="Обычный 6 33 12 3" xfId="4695"/>
    <cellStyle name="Обычный 6 33 13" xfId="2945"/>
    <cellStyle name="Обычный 6 33 13 2" xfId="3855"/>
    <cellStyle name="Обычный 6 33 13 2 2" xfId="5632"/>
    <cellStyle name="Обычный 6 33 13 3" xfId="4744"/>
    <cellStyle name="Обычный 6 33 14" xfId="3007"/>
    <cellStyle name="Обычный 6 33 14 2" xfId="3904"/>
    <cellStyle name="Обычный 6 33 14 2 2" xfId="5681"/>
    <cellStyle name="Обычный 6 33 14 3" xfId="4793"/>
    <cellStyle name="Обычный 6 33 2" xfId="2079"/>
    <cellStyle name="Обычный 6 33 2 2" xfId="3290"/>
    <cellStyle name="Обычный 6 33 2 2 2" xfId="5067"/>
    <cellStyle name="Обычный 6 33 2 3" xfId="4179"/>
    <cellStyle name="Обычный 6 33 3" xfId="2166"/>
    <cellStyle name="Обычный 6 33 3 2" xfId="3343"/>
    <cellStyle name="Обычный 6 33 3 2 2" xfId="5120"/>
    <cellStyle name="Обычный 6 33 3 3" xfId="4232"/>
    <cellStyle name="Обычный 6 33 4" xfId="2252"/>
    <cellStyle name="Обычный 6 33 4 2" xfId="3396"/>
    <cellStyle name="Обычный 6 33 4 2 2" xfId="5173"/>
    <cellStyle name="Обычный 6 33 4 3" xfId="4285"/>
    <cellStyle name="Обычный 6 33 5" xfId="2336"/>
    <cellStyle name="Обычный 6 33 5 2" xfId="3449"/>
    <cellStyle name="Обычный 6 33 5 2 2" xfId="5226"/>
    <cellStyle name="Обычный 6 33 5 3" xfId="4338"/>
    <cellStyle name="Обычный 6 33 6" xfId="2420"/>
    <cellStyle name="Обычный 6 33 6 2" xfId="3502"/>
    <cellStyle name="Обычный 6 33 6 2 2" xfId="5279"/>
    <cellStyle name="Обычный 6 33 6 3" xfId="4391"/>
    <cellStyle name="Обычный 6 33 7" xfId="2503"/>
    <cellStyle name="Обычный 6 33 7 2" xfId="3555"/>
    <cellStyle name="Обычный 6 33 7 2 2" xfId="5332"/>
    <cellStyle name="Обычный 6 33 7 3" xfId="4444"/>
    <cellStyle name="Обычный 6 33 8" xfId="2584"/>
    <cellStyle name="Обычный 6 33 8 2" xfId="3607"/>
    <cellStyle name="Обычный 6 33 8 2 2" xfId="5384"/>
    <cellStyle name="Обычный 6 33 8 3" xfId="4496"/>
    <cellStyle name="Обычный 6 33 9" xfId="2662"/>
    <cellStyle name="Обычный 6 33 9 2" xfId="3658"/>
    <cellStyle name="Обычный 6 33 9 2 2" xfId="5435"/>
    <cellStyle name="Обычный 6 33 9 3" xfId="4547"/>
    <cellStyle name="Обычный 6 34" xfId="1427"/>
    <cellStyle name="Обычный 6 34 10" xfId="2742"/>
    <cellStyle name="Обычный 6 34 10 2" xfId="3712"/>
    <cellStyle name="Обычный 6 34 10 2 2" xfId="5489"/>
    <cellStyle name="Обычный 6 34 10 3" xfId="4601"/>
    <cellStyle name="Обычный 6 34 11" xfId="2812"/>
    <cellStyle name="Обычный 6 34 11 2" xfId="3761"/>
    <cellStyle name="Обычный 6 34 11 2 2" xfId="5538"/>
    <cellStyle name="Обычный 6 34 11 3" xfId="4650"/>
    <cellStyle name="Обычный 6 34 12" xfId="2882"/>
    <cellStyle name="Обычный 6 34 12 2" xfId="3810"/>
    <cellStyle name="Обычный 6 34 12 2 2" xfId="5587"/>
    <cellStyle name="Обычный 6 34 12 3" xfId="4699"/>
    <cellStyle name="Обычный 6 34 13" xfId="2950"/>
    <cellStyle name="Обычный 6 34 13 2" xfId="3859"/>
    <cellStyle name="Обычный 6 34 13 2 2" xfId="5636"/>
    <cellStyle name="Обычный 6 34 13 3" xfId="4748"/>
    <cellStyle name="Обычный 6 34 14" xfId="3012"/>
    <cellStyle name="Обычный 6 34 14 2" xfId="3908"/>
    <cellStyle name="Обычный 6 34 14 2 2" xfId="5685"/>
    <cellStyle name="Обычный 6 34 14 3" xfId="4797"/>
    <cellStyle name="Обычный 6 34 2" xfId="2084"/>
    <cellStyle name="Обычный 6 34 2 2" xfId="3294"/>
    <cellStyle name="Обычный 6 34 2 2 2" xfId="5071"/>
    <cellStyle name="Обычный 6 34 2 3" xfId="4183"/>
    <cellStyle name="Обычный 6 34 3" xfId="2171"/>
    <cellStyle name="Обычный 6 34 3 2" xfId="3347"/>
    <cellStyle name="Обычный 6 34 3 2 2" xfId="5124"/>
    <cellStyle name="Обычный 6 34 3 3" xfId="4236"/>
    <cellStyle name="Обычный 6 34 4" xfId="2257"/>
    <cellStyle name="Обычный 6 34 4 2" xfId="3400"/>
    <cellStyle name="Обычный 6 34 4 2 2" xfId="5177"/>
    <cellStyle name="Обычный 6 34 4 3" xfId="4289"/>
    <cellStyle name="Обычный 6 34 5" xfId="2341"/>
    <cellStyle name="Обычный 6 34 5 2" xfId="3453"/>
    <cellStyle name="Обычный 6 34 5 2 2" xfId="5230"/>
    <cellStyle name="Обычный 6 34 5 3" xfId="4342"/>
    <cellStyle name="Обычный 6 34 6" xfId="2425"/>
    <cellStyle name="Обычный 6 34 6 2" xfId="3506"/>
    <cellStyle name="Обычный 6 34 6 2 2" xfId="5283"/>
    <cellStyle name="Обычный 6 34 6 3" xfId="4395"/>
    <cellStyle name="Обычный 6 34 7" xfId="2508"/>
    <cellStyle name="Обычный 6 34 7 2" xfId="3559"/>
    <cellStyle name="Обычный 6 34 7 2 2" xfId="5336"/>
    <cellStyle name="Обычный 6 34 7 3" xfId="4448"/>
    <cellStyle name="Обычный 6 34 8" xfId="2589"/>
    <cellStyle name="Обычный 6 34 8 2" xfId="3611"/>
    <cellStyle name="Обычный 6 34 8 2 2" xfId="5388"/>
    <cellStyle name="Обычный 6 34 8 3" xfId="4500"/>
    <cellStyle name="Обычный 6 34 9" xfId="2667"/>
    <cellStyle name="Обычный 6 34 9 2" xfId="3662"/>
    <cellStyle name="Обычный 6 34 9 2 2" xfId="5439"/>
    <cellStyle name="Обычный 6 34 9 3" xfId="4551"/>
    <cellStyle name="Обычный 6 35" xfId="878"/>
    <cellStyle name="Обычный 6 35 10" xfId="2747"/>
    <cellStyle name="Обычный 6 35 10 2" xfId="3716"/>
    <cellStyle name="Обычный 6 35 10 2 2" xfId="5493"/>
    <cellStyle name="Обычный 6 35 10 3" xfId="4605"/>
    <cellStyle name="Обычный 6 35 11" xfId="2817"/>
    <cellStyle name="Обычный 6 35 11 2" xfId="3765"/>
    <cellStyle name="Обычный 6 35 11 2 2" xfId="5542"/>
    <cellStyle name="Обычный 6 35 11 3" xfId="4654"/>
    <cellStyle name="Обычный 6 35 12" xfId="2887"/>
    <cellStyle name="Обычный 6 35 12 2" xfId="3814"/>
    <cellStyle name="Обычный 6 35 12 2 2" xfId="5591"/>
    <cellStyle name="Обычный 6 35 12 3" xfId="4703"/>
    <cellStyle name="Обычный 6 35 13" xfId="2955"/>
    <cellStyle name="Обычный 6 35 13 2" xfId="3863"/>
    <cellStyle name="Обычный 6 35 13 2 2" xfId="5640"/>
    <cellStyle name="Обычный 6 35 13 3" xfId="4752"/>
    <cellStyle name="Обычный 6 35 14" xfId="3017"/>
    <cellStyle name="Обычный 6 35 14 2" xfId="3912"/>
    <cellStyle name="Обычный 6 35 14 2 2" xfId="5689"/>
    <cellStyle name="Обычный 6 35 14 3" xfId="4801"/>
    <cellStyle name="Обычный 6 35 2" xfId="2089"/>
    <cellStyle name="Обычный 6 35 2 2" xfId="3298"/>
    <cellStyle name="Обычный 6 35 2 2 2" xfId="5075"/>
    <cellStyle name="Обычный 6 35 2 3" xfId="4187"/>
    <cellStyle name="Обычный 6 35 3" xfId="2176"/>
    <cellStyle name="Обычный 6 35 3 2" xfId="3351"/>
    <cellStyle name="Обычный 6 35 3 2 2" xfId="5128"/>
    <cellStyle name="Обычный 6 35 3 3" xfId="4240"/>
    <cellStyle name="Обычный 6 35 4" xfId="2262"/>
    <cellStyle name="Обычный 6 35 4 2" xfId="3404"/>
    <cellStyle name="Обычный 6 35 4 2 2" xfId="5181"/>
    <cellStyle name="Обычный 6 35 4 3" xfId="4293"/>
    <cellStyle name="Обычный 6 35 5" xfId="2346"/>
    <cellStyle name="Обычный 6 35 5 2" xfId="3457"/>
    <cellStyle name="Обычный 6 35 5 2 2" xfId="5234"/>
    <cellStyle name="Обычный 6 35 5 3" xfId="4346"/>
    <cellStyle name="Обычный 6 35 6" xfId="2430"/>
    <cellStyle name="Обычный 6 35 6 2" xfId="3510"/>
    <cellStyle name="Обычный 6 35 6 2 2" xfId="5287"/>
    <cellStyle name="Обычный 6 35 6 3" xfId="4399"/>
    <cellStyle name="Обычный 6 35 7" xfId="2513"/>
    <cellStyle name="Обычный 6 35 7 2" xfId="3563"/>
    <cellStyle name="Обычный 6 35 7 2 2" xfId="5340"/>
    <cellStyle name="Обычный 6 35 7 3" xfId="4452"/>
    <cellStyle name="Обычный 6 35 8" xfId="2594"/>
    <cellStyle name="Обычный 6 35 8 2" xfId="3615"/>
    <cellStyle name="Обычный 6 35 8 2 2" xfId="5392"/>
    <cellStyle name="Обычный 6 35 8 3" xfId="4504"/>
    <cellStyle name="Обычный 6 35 9" xfId="2672"/>
    <cellStyle name="Обычный 6 35 9 2" xfId="3666"/>
    <cellStyle name="Обычный 6 35 9 2 2" xfId="5443"/>
    <cellStyle name="Обычный 6 35 9 3" xfId="4555"/>
    <cellStyle name="Обычный 6 36" xfId="1482"/>
    <cellStyle name="Обычный 6 36 10" xfId="2752"/>
    <cellStyle name="Обычный 6 36 10 2" xfId="3720"/>
    <cellStyle name="Обычный 6 36 10 2 2" xfId="5497"/>
    <cellStyle name="Обычный 6 36 10 3" xfId="4609"/>
    <cellStyle name="Обычный 6 36 11" xfId="2822"/>
    <cellStyle name="Обычный 6 36 11 2" xfId="3769"/>
    <cellStyle name="Обычный 6 36 11 2 2" xfId="5546"/>
    <cellStyle name="Обычный 6 36 11 3" xfId="4658"/>
    <cellStyle name="Обычный 6 36 12" xfId="2892"/>
    <cellStyle name="Обычный 6 36 12 2" xfId="3818"/>
    <cellStyle name="Обычный 6 36 12 2 2" xfId="5595"/>
    <cellStyle name="Обычный 6 36 12 3" xfId="4707"/>
    <cellStyle name="Обычный 6 36 13" xfId="2960"/>
    <cellStyle name="Обычный 6 36 13 2" xfId="3867"/>
    <cellStyle name="Обычный 6 36 13 2 2" xfId="5644"/>
    <cellStyle name="Обычный 6 36 13 3" xfId="4756"/>
    <cellStyle name="Обычный 6 36 14" xfId="3022"/>
    <cellStyle name="Обычный 6 36 14 2" xfId="3916"/>
    <cellStyle name="Обычный 6 36 14 2 2" xfId="5693"/>
    <cellStyle name="Обычный 6 36 14 3" xfId="4805"/>
    <cellStyle name="Обычный 6 36 2" xfId="2094"/>
    <cellStyle name="Обычный 6 36 2 2" xfId="3302"/>
    <cellStyle name="Обычный 6 36 2 2 2" xfId="5079"/>
    <cellStyle name="Обычный 6 36 2 3" xfId="4191"/>
    <cellStyle name="Обычный 6 36 3" xfId="2181"/>
    <cellStyle name="Обычный 6 36 3 2" xfId="3355"/>
    <cellStyle name="Обычный 6 36 3 2 2" xfId="5132"/>
    <cellStyle name="Обычный 6 36 3 3" xfId="4244"/>
    <cellStyle name="Обычный 6 36 4" xfId="2267"/>
    <cellStyle name="Обычный 6 36 4 2" xfId="3408"/>
    <cellStyle name="Обычный 6 36 4 2 2" xfId="5185"/>
    <cellStyle name="Обычный 6 36 4 3" xfId="4297"/>
    <cellStyle name="Обычный 6 36 5" xfId="2351"/>
    <cellStyle name="Обычный 6 36 5 2" xfId="3461"/>
    <cellStyle name="Обычный 6 36 5 2 2" xfId="5238"/>
    <cellStyle name="Обычный 6 36 5 3" xfId="4350"/>
    <cellStyle name="Обычный 6 36 6" xfId="2435"/>
    <cellStyle name="Обычный 6 36 6 2" xfId="3514"/>
    <cellStyle name="Обычный 6 36 6 2 2" xfId="5291"/>
    <cellStyle name="Обычный 6 36 6 3" xfId="4403"/>
    <cellStyle name="Обычный 6 36 7" xfId="2518"/>
    <cellStyle name="Обычный 6 36 7 2" xfId="3567"/>
    <cellStyle name="Обычный 6 36 7 2 2" xfId="5344"/>
    <cellStyle name="Обычный 6 36 7 3" xfId="4456"/>
    <cellStyle name="Обычный 6 36 8" xfId="2599"/>
    <cellStyle name="Обычный 6 36 8 2" xfId="3619"/>
    <cellStyle name="Обычный 6 36 8 2 2" xfId="5396"/>
    <cellStyle name="Обычный 6 36 8 3" xfId="4508"/>
    <cellStyle name="Обычный 6 36 9" xfId="2677"/>
    <cellStyle name="Обычный 6 36 9 2" xfId="3670"/>
    <cellStyle name="Обычный 6 36 9 2 2" xfId="5447"/>
    <cellStyle name="Обычный 6 36 9 3" xfId="4559"/>
    <cellStyle name="Обычный 6 37" xfId="1337"/>
    <cellStyle name="Обычный 6 37 10" xfId="2757"/>
    <cellStyle name="Обычный 6 37 10 2" xfId="3724"/>
    <cellStyle name="Обычный 6 37 10 2 2" xfId="5501"/>
    <cellStyle name="Обычный 6 37 10 3" xfId="4613"/>
    <cellStyle name="Обычный 6 37 11" xfId="2827"/>
    <cellStyle name="Обычный 6 37 11 2" xfId="3773"/>
    <cellStyle name="Обычный 6 37 11 2 2" xfId="5550"/>
    <cellStyle name="Обычный 6 37 11 3" xfId="4662"/>
    <cellStyle name="Обычный 6 37 12" xfId="2897"/>
    <cellStyle name="Обычный 6 37 12 2" xfId="3822"/>
    <cellStyle name="Обычный 6 37 12 2 2" xfId="5599"/>
    <cellStyle name="Обычный 6 37 12 3" xfId="4711"/>
    <cellStyle name="Обычный 6 37 13" xfId="2965"/>
    <cellStyle name="Обычный 6 37 13 2" xfId="3871"/>
    <cellStyle name="Обычный 6 37 13 2 2" xfId="5648"/>
    <cellStyle name="Обычный 6 37 13 3" xfId="4760"/>
    <cellStyle name="Обычный 6 37 14" xfId="3027"/>
    <cellStyle name="Обычный 6 37 14 2" xfId="3920"/>
    <cellStyle name="Обычный 6 37 14 2 2" xfId="5697"/>
    <cellStyle name="Обычный 6 37 14 3" xfId="4809"/>
    <cellStyle name="Обычный 6 37 2" xfId="2099"/>
    <cellStyle name="Обычный 6 37 2 2" xfId="3306"/>
    <cellStyle name="Обычный 6 37 2 2 2" xfId="5083"/>
    <cellStyle name="Обычный 6 37 2 3" xfId="4195"/>
    <cellStyle name="Обычный 6 37 3" xfId="2186"/>
    <cellStyle name="Обычный 6 37 3 2" xfId="3359"/>
    <cellStyle name="Обычный 6 37 3 2 2" xfId="5136"/>
    <cellStyle name="Обычный 6 37 3 3" xfId="4248"/>
    <cellStyle name="Обычный 6 37 4" xfId="2272"/>
    <cellStyle name="Обычный 6 37 4 2" xfId="3412"/>
    <cellStyle name="Обычный 6 37 4 2 2" xfId="5189"/>
    <cellStyle name="Обычный 6 37 4 3" xfId="4301"/>
    <cellStyle name="Обычный 6 37 5" xfId="2356"/>
    <cellStyle name="Обычный 6 37 5 2" xfId="3465"/>
    <cellStyle name="Обычный 6 37 5 2 2" xfId="5242"/>
    <cellStyle name="Обычный 6 37 5 3" xfId="4354"/>
    <cellStyle name="Обычный 6 37 6" xfId="2440"/>
    <cellStyle name="Обычный 6 37 6 2" xfId="3518"/>
    <cellStyle name="Обычный 6 37 6 2 2" xfId="5295"/>
    <cellStyle name="Обычный 6 37 6 3" xfId="4407"/>
    <cellStyle name="Обычный 6 37 7" xfId="2523"/>
    <cellStyle name="Обычный 6 37 7 2" xfId="3571"/>
    <cellStyle name="Обычный 6 37 7 2 2" xfId="5348"/>
    <cellStyle name="Обычный 6 37 7 3" xfId="4460"/>
    <cellStyle name="Обычный 6 37 8" xfId="2604"/>
    <cellStyle name="Обычный 6 37 8 2" xfId="3623"/>
    <cellStyle name="Обычный 6 37 8 2 2" xfId="5400"/>
    <cellStyle name="Обычный 6 37 8 3" xfId="4512"/>
    <cellStyle name="Обычный 6 37 9" xfId="2682"/>
    <cellStyle name="Обычный 6 37 9 2" xfId="3674"/>
    <cellStyle name="Обычный 6 37 9 2 2" xfId="5451"/>
    <cellStyle name="Обычный 6 37 9 3" xfId="4563"/>
    <cellStyle name="Обычный 6 38" xfId="1540"/>
    <cellStyle name="Обычный 6 38 10" xfId="2762"/>
    <cellStyle name="Обычный 6 38 10 2" xfId="3728"/>
    <cellStyle name="Обычный 6 38 10 2 2" xfId="5505"/>
    <cellStyle name="Обычный 6 38 10 3" xfId="4617"/>
    <cellStyle name="Обычный 6 38 11" xfId="2832"/>
    <cellStyle name="Обычный 6 38 11 2" xfId="3777"/>
    <cellStyle name="Обычный 6 38 11 2 2" xfId="5554"/>
    <cellStyle name="Обычный 6 38 11 3" xfId="4666"/>
    <cellStyle name="Обычный 6 38 12" xfId="2902"/>
    <cellStyle name="Обычный 6 38 12 2" xfId="3826"/>
    <cellStyle name="Обычный 6 38 12 2 2" xfId="5603"/>
    <cellStyle name="Обычный 6 38 12 3" xfId="4715"/>
    <cellStyle name="Обычный 6 38 13" xfId="2970"/>
    <cellStyle name="Обычный 6 38 13 2" xfId="3875"/>
    <cellStyle name="Обычный 6 38 13 2 2" xfId="5652"/>
    <cellStyle name="Обычный 6 38 13 3" xfId="4764"/>
    <cellStyle name="Обычный 6 38 14" xfId="3032"/>
    <cellStyle name="Обычный 6 38 14 2" xfId="3924"/>
    <cellStyle name="Обычный 6 38 14 2 2" xfId="5701"/>
    <cellStyle name="Обычный 6 38 14 3" xfId="4813"/>
    <cellStyle name="Обычный 6 38 2" xfId="2104"/>
    <cellStyle name="Обычный 6 38 2 2" xfId="3310"/>
    <cellStyle name="Обычный 6 38 2 2 2" xfId="5087"/>
    <cellStyle name="Обычный 6 38 2 3" xfId="4199"/>
    <cellStyle name="Обычный 6 38 3" xfId="2191"/>
    <cellStyle name="Обычный 6 38 3 2" xfId="3363"/>
    <cellStyle name="Обычный 6 38 3 2 2" xfId="5140"/>
    <cellStyle name="Обычный 6 38 3 3" xfId="4252"/>
    <cellStyle name="Обычный 6 38 4" xfId="2277"/>
    <cellStyle name="Обычный 6 38 4 2" xfId="3416"/>
    <cellStyle name="Обычный 6 38 4 2 2" xfId="5193"/>
    <cellStyle name="Обычный 6 38 4 3" xfId="4305"/>
    <cellStyle name="Обычный 6 38 5" xfId="2361"/>
    <cellStyle name="Обычный 6 38 5 2" xfId="3469"/>
    <cellStyle name="Обычный 6 38 5 2 2" xfId="5246"/>
    <cellStyle name="Обычный 6 38 5 3" xfId="4358"/>
    <cellStyle name="Обычный 6 38 6" xfId="2445"/>
    <cellStyle name="Обычный 6 38 6 2" xfId="3522"/>
    <cellStyle name="Обычный 6 38 6 2 2" xfId="5299"/>
    <cellStyle name="Обычный 6 38 6 3" xfId="4411"/>
    <cellStyle name="Обычный 6 38 7" xfId="2528"/>
    <cellStyle name="Обычный 6 38 7 2" xfId="3575"/>
    <cellStyle name="Обычный 6 38 7 2 2" xfId="5352"/>
    <cellStyle name="Обычный 6 38 7 3" xfId="4464"/>
    <cellStyle name="Обычный 6 38 8" xfId="2609"/>
    <cellStyle name="Обычный 6 38 8 2" xfId="3627"/>
    <cellStyle name="Обычный 6 38 8 2 2" xfId="5404"/>
    <cellStyle name="Обычный 6 38 8 3" xfId="4516"/>
    <cellStyle name="Обычный 6 38 9" xfId="2687"/>
    <cellStyle name="Обычный 6 38 9 2" xfId="3678"/>
    <cellStyle name="Обычный 6 38 9 2 2" xfId="5455"/>
    <cellStyle name="Обычный 6 38 9 3" xfId="4567"/>
    <cellStyle name="Обычный 6 39" xfId="693"/>
    <cellStyle name="Обычный 6 39 10" xfId="2766"/>
    <cellStyle name="Обычный 6 39 10 2" xfId="3732"/>
    <cellStyle name="Обычный 6 39 10 2 2" xfId="5509"/>
    <cellStyle name="Обычный 6 39 10 3" xfId="4621"/>
    <cellStyle name="Обычный 6 39 11" xfId="2836"/>
    <cellStyle name="Обычный 6 39 11 2" xfId="3781"/>
    <cellStyle name="Обычный 6 39 11 2 2" xfId="5558"/>
    <cellStyle name="Обычный 6 39 11 3" xfId="4670"/>
    <cellStyle name="Обычный 6 39 12" xfId="2906"/>
    <cellStyle name="Обычный 6 39 12 2" xfId="3830"/>
    <cellStyle name="Обычный 6 39 12 2 2" xfId="5607"/>
    <cellStyle name="Обычный 6 39 12 3" xfId="4719"/>
    <cellStyle name="Обычный 6 39 13" xfId="2974"/>
    <cellStyle name="Обычный 6 39 13 2" xfId="3879"/>
    <cellStyle name="Обычный 6 39 13 2 2" xfId="5656"/>
    <cellStyle name="Обычный 6 39 13 3" xfId="4768"/>
    <cellStyle name="Обычный 6 39 14" xfId="3036"/>
    <cellStyle name="Обычный 6 39 14 2" xfId="3928"/>
    <cellStyle name="Обычный 6 39 14 2 2" xfId="5705"/>
    <cellStyle name="Обычный 6 39 14 3" xfId="4817"/>
    <cellStyle name="Обычный 6 39 2" xfId="2108"/>
    <cellStyle name="Обычный 6 39 2 2" xfId="3314"/>
    <cellStyle name="Обычный 6 39 2 2 2" xfId="5091"/>
    <cellStyle name="Обычный 6 39 2 3" xfId="4203"/>
    <cellStyle name="Обычный 6 39 3" xfId="2195"/>
    <cellStyle name="Обычный 6 39 3 2" xfId="3367"/>
    <cellStyle name="Обычный 6 39 3 2 2" xfId="5144"/>
    <cellStyle name="Обычный 6 39 3 3" xfId="4256"/>
    <cellStyle name="Обычный 6 39 4" xfId="2281"/>
    <cellStyle name="Обычный 6 39 4 2" xfId="3420"/>
    <cellStyle name="Обычный 6 39 4 2 2" xfId="5197"/>
    <cellStyle name="Обычный 6 39 4 3" xfId="4309"/>
    <cellStyle name="Обычный 6 39 5" xfId="2365"/>
    <cellStyle name="Обычный 6 39 5 2" xfId="3473"/>
    <cellStyle name="Обычный 6 39 5 2 2" xfId="5250"/>
    <cellStyle name="Обычный 6 39 5 3" xfId="4362"/>
    <cellStyle name="Обычный 6 39 6" xfId="2449"/>
    <cellStyle name="Обычный 6 39 6 2" xfId="3526"/>
    <cellStyle name="Обычный 6 39 6 2 2" xfId="5303"/>
    <cellStyle name="Обычный 6 39 6 3" xfId="4415"/>
    <cellStyle name="Обычный 6 39 7" xfId="2532"/>
    <cellStyle name="Обычный 6 39 7 2" xfId="3579"/>
    <cellStyle name="Обычный 6 39 7 2 2" xfId="5356"/>
    <cellStyle name="Обычный 6 39 7 3" xfId="4468"/>
    <cellStyle name="Обычный 6 39 8" xfId="2613"/>
    <cellStyle name="Обычный 6 39 8 2" xfId="3631"/>
    <cellStyle name="Обычный 6 39 8 2 2" xfId="5408"/>
    <cellStyle name="Обычный 6 39 8 3" xfId="4520"/>
    <cellStyle name="Обычный 6 39 9" xfId="2691"/>
    <cellStyle name="Обычный 6 39 9 2" xfId="3682"/>
    <cellStyle name="Обычный 6 39 9 2 2" xfId="5459"/>
    <cellStyle name="Обычный 6 39 9 3" xfId="4571"/>
    <cellStyle name="Обычный 6 4" xfId="235"/>
    <cellStyle name="Обычный 6 4 2" xfId="377"/>
    <cellStyle name="Обычный 6 4 2 2" xfId="511"/>
    <cellStyle name="Обычный 6 4 2 2 2" xfId="4897"/>
    <cellStyle name="Обычный 6 4 2 2 3" xfId="3119"/>
    <cellStyle name="Обычный 6 4 2 3" xfId="4009"/>
    <cellStyle name="Обычный 6 4 2 4" xfId="584"/>
    <cellStyle name="Обычный 6 4 3" xfId="337"/>
    <cellStyle name="Обычный 6 4 3 2" xfId="473"/>
    <cellStyle name="Обычный 6 4 3 3" xfId="733"/>
    <cellStyle name="Обычный 6 4 4" xfId="419"/>
    <cellStyle name="Обычный 6 4 4 2" xfId="4861"/>
    <cellStyle name="Обычный 6 4 4 3" xfId="3082"/>
    <cellStyle name="Обычный 6 4 5" xfId="3973"/>
    <cellStyle name="Обычный 6 4 6" xfId="548"/>
    <cellStyle name="Обычный 6 40" xfId="1598"/>
    <cellStyle name="Обычный 6 40 10" xfId="2770"/>
    <cellStyle name="Обычный 6 40 10 2" xfId="3736"/>
    <cellStyle name="Обычный 6 40 10 2 2" xfId="5513"/>
    <cellStyle name="Обычный 6 40 10 3" xfId="4625"/>
    <cellStyle name="Обычный 6 40 11" xfId="2840"/>
    <cellStyle name="Обычный 6 40 11 2" xfId="3785"/>
    <cellStyle name="Обычный 6 40 11 2 2" xfId="5562"/>
    <cellStyle name="Обычный 6 40 11 3" xfId="4674"/>
    <cellStyle name="Обычный 6 40 12" xfId="2910"/>
    <cellStyle name="Обычный 6 40 12 2" xfId="3834"/>
    <cellStyle name="Обычный 6 40 12 2 2" xfId="5611"/>
    <cellStyle name="Обычный 6 40 12 3" xfId="4723"/>
    <cellStyle name="Обычный 6 40 13" xfId="2978"/>
    <cellStyle name="Обычный 6 40 13 2" xfId="3883"/>
    <cellStyle name="Обычный 6 40 13 2 2" xfId="5660"/>
    <cellStyle name="Обычный 6 40 13 3" xfId="4772"/>
    <cellStyle name="Обычный 6 40 14" xfId="3040"/>
    <cellStyle name="Обычный 6 40 14 2" xfId="3932"/>
    <cellStyle name="Обычный 6 40 14 2 2" xfId="5709"/>
    <cellStyle name="Обычный 6 40 14 3" xfId="4821"/>
    <cellStyle name="Обычный 6 40 2" xfId="2112"/>
    <cellStyle name="Обычный 6 40 2 2" xfId="3318"/>
    <cellStyle name="Обычный 6 40 2 2 2" xfId="5095"/>
    <cellStyle name="Обычный 6 40 2 3" xfId="4207"/>
    <cellStyle name="Обычный 6 40 3" xfId="2199"/>
    <cellStyle name="Обычный 6 40 3 2" xfId="3371"/>
    <cellStyle name="Обычный 6 40 3 2 2" xfId="5148"/>
    <cellStyle name="Обычный 6 40 3 3" xfId="4260"/>
    <cellStyle name="Обычный 6 40 4" xfId="2285"/>
    <cellStyle name="Обычный 6 40 4 2" xfId="3424"/>
    <cellStyle name="Обычный 6 40 4 2 2" xfId="5201"/>
    <cellStyle name="Обычный 6 40 4 3" xfId="4313"/>
    <cellStyle name="Обычный 6 40 5" xfId="2369"/>
    <cellStyle name="Обычный 6 40 5 2" xfId="3477"/>
    <cellStyle name="Обычный 6 40 5 2 2" xfId="5254"/>
    <cellStyle name="Обычный 6 40 5 3" xfId="4366"/>
    <cellStyle name="Обычный 6 40 6" xfId="2453"/>
    <cellStyle name="Обычный 6 40 6 2" xfId="3530"/>
    <cellStyle name="Обычный 6 40 6 2 2" xfId="5307"/>
    <cellStyle name="Обычный 6 40 6 3" xfId="4419"/>
    <cellStyle name="Обычный 6 40 7" xfId="2536"/>
    <cellStyle name="Обычный 6 40 7 2" xfId="3583"/>
    <cellStyle name="Обычный 6 40 7 2 2" xfId="5360"/>
    <cellStyle name="Обычный 6 40 7 3" xfId="4472"/>
    <cellStyle name="Обычный 6 40 8" xfId="2617"/>
    <cellStyle name="Обычный 6 40 8 2" xfId="3635"/>
    <cellStyle name="Обычный 6 40 8 2 2" xfId="5412"/>
    <cellStyle name="Обычный 6 40 8 3" xfId="4524"/>
    <cellStyle name="Обычный 6 40 9" xfId="2695"/>
    <cellStyle name="Обычный 6 40 9 2" xfId="3686"/>
    <cellStyle name="Обычный 6 40 9 2 2" xfId="5463"/>
    <cellStyle name="Обычный 6 40 9 3" xfId="4575"/>
    <cellStyle name="Обычный 6 41" xfId="1351"/>
    <cellStyle name="Обычный 6 42" xfId="1654"/>
    <cellStyle name="Обычный 6 43" xfId="1430"/>
    <cellStyle name="Обычный 6 44" xfId="1709"/>
    <cellStyle name="Обычный 6 45" xfId="1485"/>
    <cellStyle name="Обычный 6 46" xfId="1762"/>
    <cellStyle name="Обычный 6 47" xfId="1543"/>
    <cellStyle name="Обычный 6 48" xfId="1810"/>
    <cellStyle name="Обычный 6 49" xfId="1601"/>
    <cellStyle name="Обычный 6 5" xfId="266"/>
    <cellStyle name="Обычный 6 5 2" xfId="359"/>
    <cellStyle name="Обычный 6 5 2 2" xfId="494"/>
    <cellStyle name="Обычный 6 5 2 3" xfId="739"/>
    <cellStyle name="Обычный 6 5 3" xfId="3102"/>
    <cellStyle name="Обычный 6 5 3 2" xfId="4880"/>
    <cellStyle name="Обычный 6 5 4" xfId="3992"/>
    <cellStyle name="Обычный 6 5 5" xfId="567"/>
    <cellStyle name="Обычный 6 50" xfId="1862"/>
    <cellStyle name="Обычный 6 51" xfId="1657"/>
    <cellStyle name="Обычный 6 52" xfId="1905"/>
    <cellStyle name="Обычный 6 53" xfId="1717"/>
    <cellStyle name="Обычный 6 54" xfId="2039"/>
    <cellStyle name="Обычный 6 55" xfId="2126"/>
    <cellStyle name="Обычный 6 56" xfId="2212"/>
    <cellStyle name="Обычный 6 57" xfId="2297"/>
    <cellStyle name="Обычный 6 58" xfId="2381"/>
    <cellStyle name="Обычный 6 59" xfId="2464"/>
    <cellStyle name="Обычный 6 6" xfId="319"/>
    <cellStyle name="Обычный 6 6 2" xfId="455"/>
    <cellStyle name="Обычный 6 6 3" xfId="745"/>
    <cellStyle name="Обычный 6 60" xfId="2545"/>
    <cellStyle name="Обычный 6 61" xfId="2625"/>
    <cellStyle name="Обычный 6 62" xfId="2702"/>
    <cellStyle name="Обычный 6 63" xfId="2775"/>
    <cellStyle name="Обычный 6 64" xfId="2845"/>
    <cellStyle name="Обычный 6 65" xfId="2914"/>
    <cellStyle name="Обычный 6 66" xfId="626"/>
    <cellStyle name="Обычный 6 66 2" xfId="3145"/>
    <cellStyle name="Обычный 6 66 2 2" xfId="4922"/>
    <cellStyle name="Обычный 6 66 3" xfId="4034"/>
    <cellStyle name="Обычный 6 67" xfId="3065"/>
    <cellStyle name="Обычный 6 67 2" xfId="4844"/>
    <cellStyle name="Обычный 6 68" xfId="3956"/>
    <cellStyle name="Обычный 6 69" xfId="531"/>
    <cellStyle name="Обычный 6 7" xfId="402"/>
    <cellStyle name="Обычный 6 7 2" xfId="751"/>
    <cellStyle name="Обычный 6 8" xfId="757"/>
    <cellStyle name="Обычный 6 9" xfId="763"/>
    <cellStyle name="Обычный 60" xfId="3049"/>
    <cellStyle name="Обычный 60 10" xfId="2733"/>
    <cellStyle name="Обычный 60 11" xfId="2803"/>
    <cellStyle name="Обычный 60 12" xfId="2873"/>
    <cellStyle name="Обычный 60 13" xfId="2941"/>
    <cellStyle name="Обычный 60 14" xfId="3003"/>
    <cellStyle name="Обычный 60 2" xfId="2075"/>
    <cellStyle name="Обычный 60 3" xfId="2162"/>
    <cellStyle name="Обычный 60 4" xfId="2248"/>
    <cellStyle name="Обычный 60 5" xfId="2332"/>
    <cellStyle name="Обычный 60 6" xfId="2416"/>
    <cellStyle name="Обычный 60 7" xfId="2499"/>
    <cellStyle name="Обычный 60 8" xfId="2580"/>
    <cellStyle name="Обычный 60 9" xfId="2658"/>
    <cellStyle name="Обычный 61" xfId="3048"/>
    <cellStyle name="Обычный 61 10" xfId="2738"/>
    <cellStyle name="Обычный 61 11" xfId="2808"/>
    <cellStyle name="Обычный 61 12" xfId="2878"/>
    <cellStyle name="Обычный 61 13" xfId="2946"/>
    <cellStyle name="Обычный 61 14" xfId="3008"/>
    <cellStyle name="Обычный 61 15" xfId="4829"/>
    <cellStyle name="Обычный 61 2" xfId="2080"/>
    <cellStyle name="Обычный 61 3" xfId="2167"/>
    <cellStyle name="Обычный 61 4" xfId="2253"/>
    <cellStyle name="Обычный 61 5" xfId="2337"/>
    <cellStyle name="Обычный 61 6" xfId="2421"/>
    <cellStyle name="Обычный 61 7" xfId="2504"/>
    <cellStyle name="Обычный 61 8" xfId="2585"/>
    <cellStyle name="Обычный 61 9" xfId="2663"/>
    <cellStyle name="Обычный 62" xfId="3941"/>
    <cellStyle name="Обычный 62 10" xfId="2743"/>
    <cellStyle name="Обычный 62 11" xfId="2813"/>
    <cellStyle name="Обычный 62 12" xfId="2883"/>
    <cellStyle name="Обычный 62 13" xfId="2951"/>
    <cellStyle name="Обычный 62 14" xfId="3013"/>
    <cellStyle name="Обычный 62 2" xfId="2085"/>
    <cellStyle name="Обычный 62 3" xfId="2172"/>
    <cellStyle name="Обычный 62 4" xfId="2258"/>
    <cellStyle name="Обычный 62 5" xfId="2342"/>
    <cellStyle name="Обычный 62 6" xfId="2426"/>
    <cellStyle name="Обычный 62 7" xfId="2509"/>
    <cellStyle name="Обычный 62 8" xfId="2590"/>
    <cellStyle name="Обычный 62 9" xfId="2668"/>
    <cellStyle name="Обычный 63 10" xfId="2748"/>
    <cellStyle name="Обычный 63 11" xfId="2818"/>
    <cellStyle name="Обычный 63 12" xfId="2888"/>
    <cellStyle name="Обычный 63 13" xfId="2956"/>
    <cellStyle name="Обычный 63 14" xfId="3018"/>
    <cellStyle name="Обычный 63 2" xfId="2090"/>
    <cellStyle name="Обычный 63 3" xfId="2177"/>
    <cellStyle name="Обычный 63 4" xfId="2263"/>
    <cellStyle name="Обычный 63 5" xfId="2347"/>
    <cellStyle name="Обычный 63 6" xfId="2431"/>
    <cellStyle name="Обычный 63 7" xfId="2514"/>
    <cellStyle name="Обычный 63 8" xfId="2595"/>
    <cellStyle name="Обычный 63 9" xfId="2673"/>
    <cellStyle name="Обычный 64 10" xfId="2753"/>
    <cellStyle name="Обычный 64 11" xfId="2823"/>
    <cellStyle name="Обычный 64 12" xfId="2893"/>
    <cellStyle name="Обычный 64 13" xfId="2961"/>
    <cellStyle name="Обычный 64 14" xfId="3023"/>
    <cellStyle name="Обычный 64 2" xfId="2095"/>
    <cellStyle name="Обычный 64 3" xfId="2182"/>
    <cellStyle name="Обычный 64 4" xfId="2268"/>
    <cellStyle name="Обычный 64 5" xfId="2352"/>
    <cellStyle name="Обычный 64 6" xfId="2436"/>
    <cellStyle name="Обычный 64 7" xfId="2519"/>
    <cellStyle name="Обычный 64 8" xfId="2600"/>
    <cellStyle name="Обычный 64 9" xfId="2678"/>
    <cellStyle name="Обычный 65 10" xfId="2758"/>
    <cellStyle name="Обычный 65 11" xfId="2828"/>
    <cellStyle name="Обычный 65 12" xfId="2898"/>
    <cellStyle name="Обычный 65 13" xfId="2966"/>
    <cellStyle name="Обычный 65 14" xfId="3028"/>
    <cellStyle name="Обычный 65 2" xfId="2100"/>
    <cellStyle name="Обычный 65 3" xfId="2187"/>
    <cellStyle name="Обычный 65 4" xfId="2273"/>
    <cellStyle name="Обычный 65 5" xfId="2357"/>
    <cellStyle name="Обычный 65 6" xfId="2441"/>
    <cellStyle name="Обычный 65 7" xfId="2524"/>
    <cellStyle name="Обычный 65 8" xfId="2605"/>
    <cellStyle name="Обычный 65 9" xfId="2683"/>
    <cellStyle name="Обычный 7" xfId="238"/>
    <cellStyle name="Обычный 7 10" xfId="759"/>
    <cellStyle name="Обычный 7 11" xfId="765"/>
    <cellStyle name="Обычный 7 12" xfId="771"/>
    <cellStyle name="Обычный 7 13" xfId="777"/>
    <cellStyle name="Обычный 7 14" xfId="783"/>
    <cellStyle name="Обычный 7 15" xfId="793"/>
    <cellStyle name="Обычный 7 16" xfId="797"/>
    <cellStyle name="Обычный 7 17" xfId="798"/>
    <cellStyle name="Обычный 7 18" xfId="800"/>
    <cellStyle name="Обычный 7 19" xfId="803"/>
    <cellStyle name="Обычный 7 2" xfId="267"/>
    <cellStyle name="Обычный 7 2 2" xfId="380"/>
    <cellStyle name="Обычный 7 2 2 2" xfId="514"/>
    <cellStyle name="Обычный 7 2 2 3" xfId="689"/>
    <cellStyle name="Обычный 7 2 3" xfId="3122"/>
    <cellStyle name="Обычный 7 2 3 2" xfId="4900"/>
    <cellStyle name="Обычный 7 2 4" xfId="4012"/>
    <cellStyle name="Обычный 7 2 5" xfId="587"/>
    <cellStyle name="Обычный 7 20" xfId="807"/>
    <cellStyle name="Обычный 7 21" xfId="808"/>
    <cellStyle name="Обычный 7 22" xfId="813"/>
    <cellStyle name="Обычный 7 23" xfId="816"/>
    <cellStyle name="Обычный 7 24" xfId="819"/>
    <cellStyle name="Обычный 7 25" xfId="822"/>
    <cellStyle name="Обычный 7 26" xfId="825"/>
    <cellStyle name="Обычный 7 27" xfId="826"/>
    <cellStyle name="Обычный 7 28" xfId="828"/>
    <cellStyle name="Обычный 7 29" xfId="831"/>
    <cellStyle name="Обычный 7 3" xfId="340"/>
    <cellStyle name="Обычный 7 3 2" xfId="476"/>
    <cellStyle name="Обычный 7 3 3" xfId="718"/>
    <cellStyle name="Обычный 7 30" xfId="834"/>
    <cellStyle name="Обычный 7 31" xfId="844"/>
    <cellStyle name="Обычный 7 32" xfId="846"/>
    <cellStyle name="Обычный 7 33" xfId="843"/>
    <cellStyle name="Обычный 7 34" xfId="845"/>
    <cellStyle name="Обычный 7 35" xfId="881"/>
    <cellStyle name="Обычный 7 36" xfId="1153"/>
    <cellStyle name="Обычный 7 37" xfId="1315"/>
    <cellStyle name="Обычный 7 38" xfId="1250"/>
    <cellStyle name="Обычный 7 39" xfId="1464"/>
    <cellStyle name="Обычный 7 4" xfId="422"/>
    <cellStyle name="Обычный 7 4 2" xfId="723"/>
    <cellStyle name="Обычный 7 40" xfId="1444"/>
    <cellStyle name="Обычный 7 41" xfId="1520"/>
    <cellStyle name="Обычный 7 42" xfId="1500"/>
    <cellStyle name="Обычный 7 43" xfId="1581"/>
    <cellStyle name="Обычный 7 44" xfId="1558"/>
    <cellStyle name="Обычный 7 45" xfId="1634"/>
    <cellStyle name="Обычный 7 46" xfId="1614"/>
    <cellStyle name="Обычный 7 47" xfId="1690"/>
    <cellStyle name="Обычный 7 48" xfId="1670"/>
    <cellStyle name="Обычный 7 49" xfId="1747"/>
    <cellStyle name="Обычный 7 5" xfId="729"/>
    <cellStyle name="Обычный 7 50" xfId="1725"/>
    <cellStyle name="Обычный 7 51" xfId="1795"/>
    <cellStyle name="Обычный 7 52" xfId="1775"/>
    <cellStyle name="Обычный 7 53" xfId="1844"/>
    <cellStyle name="Обычный 7 54" xfId="1823"/>
    <cellStyle name="Обычный 7 55" xfId="1890"/>
    <cellStyle name="Обычный 7 56" xfId="1876"/>
    <cellStyle name="Обычный 7 57" xfId="1937"/>
    <cellStyle name="Обычный 7 58" xfId="1920"/>
    <cellStyle name="Обычный 7 59" xfId="1978"/>
    <cellStyle name="Обычный 7 6" xfId="735"/>
    <cellStyle name="Обычный 7 60" xfId="1986"/>
    <cellStyle name="Обычный 7 61" xfId="1953"/>
    <cellStyle name="Обычный 7 62" xfId="1689"/>
    <cellStyle name="Обычный 7 63" xfId="1809"/>
    <cellStyle name="Обычный 7 64" xfId="2051"/>
    <cellStyle name="Обычный 7 65" xfId="2138"/>
    <cellStyle name="Обычный 7 66" xfId="2224"/>
    <cellStyle name="Обычный 7 67" xfId="2308"/>
    <cellStyle name="Обычный 7 68" xfId="2392"/>
    <cellStyle name="Обычный 7 69" xfId="2475"/>
    <cellStyle name="Обычный 7 7" xfId="741"/>
    <cellStyle name="Обычный 7 70" xfId="2556"/>
    <cellStyle name="Обычный 7 71" xfId="2634"/>
    <cellStyle name="Обычный 7 72" xfId="2709"/>
    <cellStyle name="Обычный 7 73" xfId="3041"/>
    <cellStyle name="Обычный 7 73 2" xfId="3933"/>
    <cellStyle name="Обычный 7 73 2 2" xfId="5710"/>
    <cellStyle name="Обычный 7 73 3" xfId="4822"/>
    <cellStyle name="Обычный 7 74" xfId="3085"/>
    <cellStyle name="Обычный 7 74 2" xfId="4864"/>
    <cellStyle name="Обычный 7 75" xfId="3976"/>
    <cellStyle name="Обычный 7 76" xfId="551"/>
    <cellStyle name="Обычный 7 8" xfId="747"/>
    <cellStyle name="Обычный 7 9" xfId="753"/>
    <cellStyle name="Обычный 8" xfId="268"/>
    <cellStyle name="Обычный 8 10" xfId="770"/>
    <cellStyle name="Обычный 8 11" xfId="776"/>
    <cellStyle name="Обычный 8 12" xfId="782"/>
    <cellStyle name="Обычный 8 13" xfId="788"/>
    <cellStyle name="Обычный 8 14" xfId="790"/>
    <cellStyle name="Обычный 8 15" xfId="796"/>
    <cellStyle name="Обычный 8 2" xfId="341"/>
    <cellStyle name="Обычный 8 2 2" xfId="722"/>
    <cellStyle name="Обычный 8 3" xfId="728"/>
    <cellStyle name="Обычный 8 4" xfId="734"/>
    <cellStyle name="Обычный 8 5" xfId="740"/>
    <cellStyle name="Обычный 8 6" xfId="746"/>
    <cellStyle name="Обычный 8 7" xfId="752"/>
    <cellStyle name="Обычный 8 8" xfId="758"/>
    <cellStyle name="Обычный 8 9" xfId="764"/>
    <cellStyle name="Обычный 9" xfId="269"/>
    <cellStyle name="Обычный 9 2" xfId="381"/>
    <cellStyle name="Обычный 9 2 2" xfId="515"/>
    <cellStyle name="Обычный 9 2 2 2" xfId="4901"/>
    <cellStyle name="Обычный 9 2 2 3" xfId="3123"/>
    <cellStyle name="Обычный 9 2 3" xfId="4013"/>
    <cellStyle name="Обычный 9 2 4" xfId="588"/>
    <cellStyle name="Обычный 9 3" xfId="342"/>
    <cellStyle name="Обычный 9 3 2" xfId="477"/>
    <cellStyle name="Обычный 9 3 3" xfId="865"/>
    <cellStyle name="Обычный 9 4" xfId="3086"/>
    <cellStyle name="Обычный 9 4 2" xfId="4865"/>
    <cellStyle name="Обычный 9 5" xfId="3977"/>
    <cellStyle name="Обычный 9 6" xfId="552"/>
    <cellStyle name="Плохой 2" xfId="194"/>
    <cellStyle name="Плохой 3" xfId="195"/>
    <cellStyle name="Плохой 4" xfId="196"/>
    <cellStyle name="Плохой 5" xfId="197"/>
    <cellStyle name="Пояснение 2" xfId="198"/>
    <cellStyle name="Пояснение 3" xfId="199"/>
    <cellStyle name="Пояснение 4" xfId="200"/>
    <cellStyle name="Пояснение 5" xfId="201"/>
    <cellStyle name="Примечание 2" xfId="202"/>
    <cellStyle name="Примечание 3" xfId="203"/>
    <cellStyle name="Примечание 4" xfId="204"/>
    <cellStyle name="Примечание 5" xfId="205"/>
    <cellStyle name="Процентный 2" xfId="3137"/>
    <cellStyle name="Процентный 7" xfId="602"/>
    <cellStyle name="Связанная ячейка 2" xfId="206"/>
    <cellStyle name="Связанная ячейка 3" xfId="207"/>
    <cellStyle name="Связанная ячейка 4" xfId="208"/>
    <cellStyle name="Связанная ячейка 5" xfId="209"/>
    <cellStyle name="Стиль 1" xfId="210"/>
    <cellStyle name="Стиль 1 2" xfId="270"/>
    <cellStyle name="Текст предупреждения 2" xfId="211"/>
    <cellStyle name="Текст предупреждения 3" xfId="212"/>
    <cellStyle name="Текст предупреждения 4" xfId="213"/>
    <cellStyle name="Текст предупреждения 5" xfId="214"/>
    <cellStyle name="Финансовый [0] 2" xfId="271"/>
    <cellStyle name="Финансовый [0] 3" xfId="272"/>
    <cellStyle name="Финансовый 10" xfId="273"/>
    <cellStyle name="Финансовый 10 2" xfId="427"/>
    <cellStyle name="Финансовый 11" xfId="274"/>
    <cellStyle name="Финансовый 11 2" xfId="428"/>
    <cellStyle name="Финансовый 12" xfId="275"/>
    <cellStyle name="Финансовый 12 2" xfId="429"/>
    <cellStyle name="Финансовый 13" xfId="276"/>
    <cellStyle name="Финансовый 13 2" xfId="430"/>
    <cellStyle name="Финансовый 2" xfId="277"/>
    <cellStyle name="Финансовый 2 2" xfId="431"/>
    <cellStyle name="Финансовый 2 3" xfId="3939"/>
    <cellStyle name="Финансовый 3" xfId="278"/>
    <cellStyle name="Финансовый 3 2" xfId="432"/>
    <cellStyle name="Финансовый 4" xfId="279"/>
    <cellStyle name="Финансовый 4 2" xfId="433"/>
    <cellStyle name="Финансовый 5" xfId="280"/>
    <cellStyle name="Финансовый 5 2" xfId="434"/>
    <cellStyle name="Финансовый 6" xfId="281"/>
    <cellStyle name="Финансовый 6 2" xfId="435"/>
    <cellStyle name="Финансовый 7" xfId="282"/>
    <cellStyle name="Финансовый 7 2" xfId="436"/>
    <cellStyle name="Финансовый 8" xfId="283"/>
    <cellStyle name="Финансовый 8 2" xfId="437"/>
    <cellStyle name="Финансовый 9" xfId="284"/>
    <cellStyle name="Финансовый 9 2" xfId="438"/>
    <cellStyle name="Хороший 2" xfId="215"/>
    <cellStyle name="Хороший 3" xfId="216"/>
    <cellStyle name="Хороший 4" xfId="217"/>
    <cellStyle name="Хороший 5" xfId="218"/>
    <cellStyle name="표준_'07년 Line-up_LGEAK_060907" xfId="285"/>
    <cellStyle name="一般_G430" xfId="286"/>
    <cellStyle name="常规 2" xfId="287"/>
    <cellStyle name="常规_2008 Pricing_GMV R22_Before August 2008_USD_2009 GREE CAC Pricing for Q4 season_Valid thru Nov 2009" xfId="288"/>
    <cellStyle name="样式 1" xfId="289"/>
    <cellStyle name="標準 3" xfId="290"/>
    <cellStyle name="㼿㼿" xfId="291"/>
    <cellStyle name="㼿㼿?" xfId="292"/>
    <cellStyle name="㼿㼿㼿" xfId="293"/>
    <cellStyle name="㼿㼿㼿?" xfId="294"/>
    <cellStyle name="㼿㼿㼿㼿" xfId="295"/>
    <cellStyle name="㼿㼿㼿㼿?" xfId="296"/>
    <cellStyle name="㼿㼿㼿㼿㼿" xfId="297"/>
    <cellStyle name="㼿㼿㼿㼿㼿?" xfId="298"/>
    <cellStyle name="㼿㼿㼿㼿㼿㼿?" xfId="299"/>
    <cellStyle name="㼿㼿㼿㼿㼿㼿㼿㼿" xfId="300"/>
    <cellStyle name="㼿㼿㼿㼿㼿㼿㼿㼿㼿" xfId="301"/>
    <cellStyle name="㼿㼿㼿㼿㼿㼿㼿㼿㼿㼿" xfId="302"/>
  </cellStyles>
  <dxfs count="1"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E8FBFB"/>
      <color rgb="FF008E8B"/>
      <color rgb="FFE7FBFF"/>
      <color rgb="FF00A6AA"/>
      <color rgb="FF4F4F4F"/>
      <color rgb="FF00B0AC"/>
      <color rgb="FFBFF3F2"/>
      <color rgb="FF00B1B4"/>
      <color rgb="FF636466"/>
      <color rgb="FF00C8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1056;&#1077;&#1082;&#1091;&#1087;&#1077;&#1088;&#1072;&#1090;&#1086;&#1088;&#1099;!A1"/><Relationship Id="rId13" Type="http://schemas.openxmlformats.org/officeDocument/2006/relationships/hyperlink" Target="#'&#1050;&#1086;&#1084;&#1087;&#1072;&#1082;&#1090;&#1085;&#1099;&#1077; &#1091;&#1089;&#1090;&#1072;&#1085;&#1086;&#1074;&#1082;&#1080;'!A1"/><Relationship Id="rId3" Type="http://schemas.openxmlformats.org/officeDocument/2006/relationships/image" Target="../media/image2.png"/><Relationship Id="rId7" Type="http://schemas.openxmlformats.org/officeDocument/2006/relationships/hyperlink" Target="#&#1054;&#1093;&#1083;&#1072;&#1076;&#1080;&#1090;&#1077;&#1083;&#1080;!A1"/><Relationship Id="rId12" Type="http://schemas.openxmlformats.org/officeDocument/2006/relationships/hyperlink" Target="#'&#1056;&#1077;&#1096;&#1077;&#1090;&#1082;&#1080; &#1085;&#1072;&#1088;&#1091;&#1078;&#1085;&#1099;&#1077; &#1080; &#1076;&#1080;&#1092;&#1092;&#1091;&#1079;&#1086;&#1088;&#1099;'!A1"/><Relationship Id="rId2" Type="http://schemas.openxmlformats.org/officeDocument/2006/relationships/image" Target="../media/image1.png"/><Relationship Id="rId16" Type="http://schemas.openxmlformats.org/officeDocument/2006/relationships/image" Target="../media/image4.png"/><Relationship Id="rId1" Type="http://schemas.openxmlformats.org/officeDocument/2006/relationships/hyperlink" Target="#&#1048;&#1089;&#1090;&#1086;&#1088;&#1080;&#1103;!A1"/><Relationship Id="rId6" Type="http://schemas.openxmlformats.org/officeDocument/2006/relationships/hyperlink" Target="#&#1053;&#1072;&#1075;&#1088;&#1077;&#1074;&#1072;&#1090;&#1077;&#1083;&#1080;!A1"/><Relationship Id="rId11" Type="http://schemas.openxmlformats.org/officeDocument/2006/relationships/hyperlink" Target="#&#1064;&#1091;&#1084;&#1086;&#1075;&#1083;&#1091;&#1096;&#1080;&#1090;&#1077;&#1083;&#1080;!A1"/><Relationship Id="rId5" Type="http://schemas.openxmlformats.org/officeDocument/2006/relationships/hyperlink" Target="#&#1055;&#1088;&#1080;&#1085;&#1072;&#1076;&#1083;&#1077;&#1078;&#1085;&#1086;&#1089;&#1090;&#1080;!A1"/><Relationship Id="rId15" Type="http://schemas.openxmlformats.org/officeDocument/2006/relationships/hyperlink" Target="https://ksktrade.ru/" TargetMode="External"/><Relationship Id="rId10" Type="http://schemas.openxmlformats.org/officeDocument/2006/relationships/hyperlink" Target="#&#1047;&#1072;&#1089;&#1083;&#1086;&#1085;&#1082;&#1080;!A1"/><Relationship Id="rId4" Type="http://schemas.openxmlformats.org/officeDocument/2006/relationships/hyperlink" Target="#&#1042;&#1077;&#1085;&#1090;&#1080;&#1083;&#1103;&#1090;&#1086;&#1088;&#1099;!A1"/><Relationship Id="rId9" Type="http://schemas.openxmlformats.org/officeDocument/2006/relationships/hyperlink" Target="#&#1060;&#1080;&#1083;&#1100;&#1090;&#1088;&#1099;!A1"/><Relationship Id="rId1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2.png"/><Relationship Id="rId1" Type="http://schemas.openxmlformats.org/officeDocument/2006/relationships/image" Target="../media/image31.jpeg"/><Relationship Id="rId6" Type="http://schemas.openxmlformats.org/officeDocument/2006/relationships/image" Target="../media/image4.png"/><Relationship Id="rId5" Type="http://schemas.openxmlformats.org/officeDocument/2006/relationships/hyperlink" Target="https://ksktrade.ru/" TargetMode="External"/><Relationship Id="rId4" Type="http://schemas.openxmlformats.org/officeDocument/2006/relationships/image" Target="../media/image3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jpeg"/><Relationship Id="rId6" Type="http://schemas.openxmlformats.org/officeDocument/2006/relationships/image" Target="../media/image4.png"/><Relationship Id="rId5" Type="http://schemas.openxmlformats.org/officeDocument/2006/relationships/hyperlink" Target="https://ksktrade.ru/" TargetMode="External"/><Relationship Id="rId4" Type="http://schemas.openxmlformats.org/officeDocument/2006/relationships/image" Target="../media/image3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6.jpeg"/><Relationship Id="rId5" Type="http://schemas.openxmlformats.org/officeDocument/2006/relationships/image" Target="../media/image4.png"/><Relationship Id="rId4" Type="http://schemas.openxmlformats.org/officeDocument/2006/relationships/hyperlink" Target="https://ksktrade.ru/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essar.com/ventilation/ruvent_solutions/aksessuary-ru-vent/accessories_for_chanal_fans/kanalnye-nagrevateli/lv-hdce-ru-all/" TargetMode="External"/><Relationship Id="rId3" Type="http://schemas.openxmlformats.org/officeDocument/2006/relationships/image" Target="../media/image10.jpeg"/><Relationship Id="rId7" Type="http://schemas.openxmlformats.org/officeDocument/2006/relationships/image" Target="../media/image14.png"/><Relationship Id="rId12" Type="http://schemas.openxmlformats.org/officeDocument/2006/relationships/image" Target="../media/image4.pn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11" Type="http://schemas.openxmlformats.org/officeDocument/2006/relationships/hyperlink" Target="https://ksktrade.ru/" TargetMode="External"/><Relationship Id="rId5" Type="http://schemas.openxmlformats.org/officeDocument/2006/relationships/image" Target="../media/image12.jpeg"/><Relationship Id="rId10" Type="http://schemas.openxmlformats.org/officeDocument/2006/relationships/image" Target="../media/image16.png"/><Relationship Id="rId4" Type="http://schemas.openxmlformats.org/officeDocument/2006/relationships/image" Target="../media/image11.png"/><Relationship Id="rId9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jpeg"/><Relationship Id="rId6" Type="http://schemas.openxmlformats.org/officeDocument/2006/relationships/image" Target="../media/image4.png"/><Relationship Id="rId5" Type="http://schemas.openxmlformats.org/officeDocument/2006/relationships/hyperlink" Target="https://ksktrade.ru/" TargetMode="External"/><Relationship Id="rId4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4.png"/><Relationship Id="rId5" Type="http://schemas.openxmlformats.org/officeDocument/2006/relationships/hyperlink" Target="https://ksktrade.ru/" TargetMode="External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7" Type="http://schemas.openxmlformats.org/officeDocument/2006/relationships/image" Target="../media/image4.png"/><Relationship Id="rId2" Type="http://schemas.openxmlformats.org/officeDocument/2006/relationships/image" Target="../media/image25.jpeg"/><Relationship Id="rId1" Type="http://schemas.openxmlformats.org/officeDocument/2006/relationships/image" Target="../media/image24.jpeg"/><Relationship Id="rId6" Type="http://schemas.openxmlformats.org/officeDocument/2006/relationships/hyperlink" Target="https://ksktrade.ru/" TargetMode="External"/><Relationship Id="rId5" Type="http://schemas.openxmlformats.org/officeDocument/2006/relationships/image" Target="../media/image15.png"/><Relationship Id="rId4" Type="http://schemas.openxmlformats.org/officeDocument/2006/relationships/hyperlink" Target="http://www.lessar.com/ventilation/ruvent_solutions/aksessuary-ru-vent/accessories_for_chanal_fans/kanalnye-nagrevateli/lv-hdce-ru-all/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7" Type="http://schemas.openxmlformats.org/officeDocument/2006/relationships/image" Target="../media/image4.pn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6" Type="http://schemas.openxmlformats.org/officeDocument/2006/relationships/hyperlink" Target="https://ksktrade.ru/" TargetMode="External"/><Relationship Id="rId5" Type="http://schemas.openxmlformats.org/officeDocument/2006/relationships/image" Target="../media/image15.png"/><Relationship Id="rId4" Type="http://schemas.openxmlformats.org/officeDocument/2006/relationships/hyperlink" Target="http://www.lessar.com/ventilation/ruvent_solutions/aksessuary-ru-vent/accessories_for_chanal_fans/kanalnye-nagrevateli/lv-hdce-ru-all/" TargetMode="Externa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" TargetMode="External"/><Relationship Id="rId3" Type="http://schemas.openxmlformats.org/officeDocument/2006/relationships/image" Target="../media/image29.jpeg"/><Relationship Id="rId7" Type="http://schemas.openxmlformats.org/officeDocument/2006/relationships/image" Target="../media/image15.png"/><Relationship Id="rId2" Type="http://schemas.openxmlformats.org/officeDocument/2006/relationships/image" Target="../media/image28.jpeg"/><Relationship Id="rId1" Type="http://schemas.openxmlformats.org/officeDocument/2006/relationships/image" Target="../media/image26.jpeg"/><Relationship Id="rId6" Type="http://schemas.openxmlformats.org/officeDocument/2006/relationships/hyperlink" Target="http://www.lessar.com/ventilation/ruvent_solutions/aksessuary-ru-vent/accessories_for_chanal_fans/kanalnye-nagrevateli/lv-hdce-ru-all/" TargetMode="External"/><Relationship Id="rId5" Type="http://schemas.openxmlformats.org/officeDocument/2006/relationships/image" Target="../media/image14.png"/><Relationship Id="rId4" Type="http://schemas.openxmlformats.org/officeDocument/2006/relationships/image" Target="../media/image30.jpeg"/><Relationship Id="rId9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163286</xdr:colOff>
      <xdr:row>15</xdr:row>
      <xdr:rowOff>0</xdr:rowOff>
    </xdr:from>
    <xdr:ext cx="184731" cy="177036"/>
    <xdr:sp macro="" textlink="">
      <xdr:nvSpPr>
        <xdr:cNvPr id="36" name="TextBox 35">
          <a:hlinkClick xmlns:r="http://schemas.openxmlformats.org/officeDocument/2006/relationships" r:id="rId1" tooltip="Перейти к программе подбора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925286" y="2451059"/>
          <a:ext cx="184731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endParaRPr lang="ru-RU" sz="12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0</xdr:colOff>
      <xdr:row>16</xdr:row>
      <xdr:rowOff>32258</xdr:rowOff>
    </xdr:from>
    <xdr:to>
      <xdr:col>32</xdr:col>
      <xdr:colOff>2820</xdr:colOff>
      <xdr:row>43</xdr:row>
      <xdr:rowOff>154305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4220"/>
        <a:stretch/>
      </xdr:blipFill>
      <xdr:spPr>
        <a:xfrm>
          <a:off x="0" y="3127883"/>
          <a:ext cx="6098820" cy="449402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7</xdr:row>
      <xdr:rowOff>121920</xdr:rowOff>
    </xdr:from>
    <xdr:to>
      <xdr:col>32</xdr:col>
      <xdr:colOff>60960</xdr:colOff>
      <xdr:row>9</xdr:row>
      <xdr:rowOff>328210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1295400"/>
          <a:ext cx="6377940" cy="77017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4</xdr:col>
      <xdr:colOff>163286</xdr:colOff>
      <xdr:row>17</xdr:row>
      <xdr:rowOff>130811</xdr:rowOff>
    </xdr:from>
    <xdr:ext cx="3334374" cy="177036"/>
    <xdr:sp macro="" textlink="">
      <xdr:nvSpPr>
        <xdr:cNvPr id="21" name="TextBox 20">
          <a:hlinkClick xmlns:r="http://schemas.openxmlformats.org/officeDocument/2006/relationships" r:id="rId4" tooltip="Перейти к разделу прайса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925286" y="3388361"/>
          <a:ext cx="3334374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Вентиляторы канальные</a:t>
          </a:r>
          <a:r>
            <a:rPr lang="ru-RU" sz="12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и специальные</a:t>
          </a:r>
          <a:endParaRPr lang="ru-RU" sz="12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163286</xdr:colOff>
      <xdr:row>19</xdr:row>
      <xdr:rowOff>56199</xdr:rowOff>
    </xdr:from>
    <xdr:ext cx="2948371" cy="177036"/>
    <xdr:sp macro="" textlink="">
      <xdr:nvSpPr>
        <xdr:cNvPr id="22" name="TextBox 21">
          <a:hlinkClick xmlns:r="http://schemas.openxmlformats.org/officeDocument/2006/relationships" r:id="rId5" tooltip="Перейти к разделу прайса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925286" y="3637599"/>
          <a:ext cx="2948371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Принадлежности для вентиляторов</a:t>
          </a:r>
        </a:p>
      </xdr:txBody>
    </xdr:sp>
    <xdr:clientData/>
  </xdr:oneCellAnchor>
  <xdr:oneCellAnchor>
    <xdr:from>
      <xdr:col>4</xdr:col>
      <xdr:colOff>163286</xdr:colOff>
      <xdr:row>20</xdr:row>
      <xdr:rowOff>145417</xdr:rowOff>
    </xdr:from>
    <xdr:ext cx="3194464" cy="177036"/>
    <xdr:sp macro="" textlink="">
      <xdr:nvSpPr>
        <xdr:cNvPr id="23" name="TextBox 22">
          <a:hlinkClick xmlns:r="http://schemas.openxmlformats.org/officeDocument/2006/relationships" r:id="rId6" tooltip="Перейти к разделу прайса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925286" y="3888742"/>
          <a:ext cx="3194464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Нагреватели водяные и электрические</a:t>
          </a:r>
        </a:p>
      </xdr:txBody>
    </xdr:sp>
    <xdr:clientData/>
  </xdr:oneCellAnchor>
  <xdr:oneCellAnchor>
    <xdr:from>
      <xdr:col>4</xdr:col>
      <xdr:colOff>163286</xdr:colOff>
      <xdr:row>22</xdr:row>
      <xdr:rowOff>70805</xdr:rowOff>
    </xdr:from>
    <xdr:ext cx="2934650" cy="177036"/>
    <xdr:sp macro="" textlink="">
      <xdr:nvSpPr>
        <xdr:cNvPr id="24" name="TextBox 23">
          <a:hlinkClick xmlns:r="http://schemas.openxmlformats.org/officeDocument/2006/relationships" r:id="rId7" tooltip="Перейти к разделу прайса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925286" y="4137980"/>
          <a:ext cx="2934650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Охладители водяные и фреоновые</a:t>
          </a:r>
        </a:p>
      </xdr:txBody>
    </xdr:sp>
    <xdr:clientData/>
  </xdr:oneCellAnchor>
  <xdr:oneCellAnchor>
    <xdr:from>
      <xdr:col>4</xdr:col>
      <xdr:colOff>163286</xdr:colOff>
      <xdr:row>23</xdr:row>
      <xdr:rowOff>160023</xdr:rowOff>
    </xdr:from>
    <xdr:ext cx="2423420" cy="177036"/>
    <xdr:sp macro="" textlink="">
      <xdr:nvSpPr>
        <xdr:cNvPr id="25" name="TextBox 24">
          <a:hlinkClick xmlns:r="http://schemas.openxmlformats.org/officeDocument/2006/relationships" r:id="rId8" tooltip="Перейти к разделу прайса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925286" y="4389123"/>
          <a:ext cx="2423420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Рекуператоры пластинчатые</a:t>
          </a:r>
        </a:p>
      </xdr:txBody>
    </xdr:sp>
    <xdr:clientData/>
  </xdr:oneCellAnchor>
  <xdr:oneCellAnchor>
    <xdr:from>
      <xdr:col>4</xdr:col>
      <xdr:colOff>163286</xdr:colOff>
      <xdr:row>25</xdr:row>
      <xdr:rowOff>85411</xdr:rowOff>
    </xdr:from>
    <xdr:ext cx="1833066" cy="177036"/>
    <xdr:sp macro="" textlink="">
      <xdr:nvSpPr>
        <xdr:cNvPr id="26" name="TextBox 25">
          <a:hlinkClick xmlns:r="http://schemas.openxmlformats.org/officeDocument/2006/relationships" r:id="rId9" tooltip="Перейти к разделу прайса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925286" y="4638361"/>
          <a:ext cx="1833066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Фильтры воздушные</a:t>
          </a:r>
        </a:p>
      </xdr:txBody>
    </xdr:sp>
    <xdr:clientData/>
  </xdr:oneCellAnchor>
  <xdr:oneCellAnchor>
    <xdr:from>
      <xdr:col>4</xdr:col>
      <xdr:colOff>163286</xdr:colOff>
      <xdr:row>27</xdr:row>
      <xdr:rowOff>12704</xdr:rowOff>
    </xdr:from>
    <xdr:ext cx="1838004" cy="177036"/>
    <xdr:sp macro="" textlink="">
      <xdr:nvSpPr>
        <xdr:cNvPr id="27" name="TextBox 26">
          <a:hlinkClick xmlns:r="http://schemas.openxmlformats.org/officeDocument/2006/relationships" r:id="rId10" tooltip="Перейти к разделу прайса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925286" y="4889504"/>
          <a:ext cx="1838004" cy="17703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За</a:t>
          </a:r>
          <a:r>
            <a:rPr lang="en-U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лонки воздушные</a:t>
          </a:r>
        </a:p>
      </xdr:txBody>
    </xdr:sp>
    <xdr:clientData/>
  </xdr:oneCellAnchor>
  <xdr:oneCellAnchor>
    <xdr:from>
      <xdr:col>4</xdr:col>
      <xdr:colOff>163286</xdr:colOff>
      <xdr:row>28</xdr:row>
      <xdr:rowOff>100017</xdr:rowOff>
    </xdr:from>
    <xdr:ext cx="1499128" cy="177036"/>
    <xdr:sp macro="" textlink="">
      <xdr:nvSpPr>
        <xdr:cNvPr id="28" name="TextBox 27">
          <a:hlinkClick xmlns:r="http://schemas.openxmlformats.org/officeDocument/2006/relationships" r:id="rId11" tooltip="Перейти к разделу прайса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925286" y="5138742"/>
          <a:ext cx="1499128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Шумоглушители </a:t>
          </a:r>
        </a:p>
      </xdr:txBody>
    </xdr:sp>
    <xdr:clientData/>
  </xdr:oneCellAnchor>
  <xdr:oneCellAnchor>
    <xdr:from>
      <xdr:col>4</xdr:col>
      <xdr:colOff>163286</xdr:colOff>
      <xdr:row>30</xdr:row>
      <xdr:rowOff>27310</xdr:rowOff>
    </xdr:from>
    <xdr:ext cx="184731" cy="177036"/>
    <xdr:sp macro="" textlink="">
      <xdr:nvSpPr>
        <xdr:cNvPr id="29" name="TextBox 28">
          <a:hlinkClick xmlns:r="http://schemas.openxmlformats.org/officeDocument/2006/relationships" r:id="rId12" tooltip="Перейти к разделу прайса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925286" y="5389885"/>
          <a:ext cx="184731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endParaRPr lang="ru-RU" sz="12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163286</xdr:colOff>
      <xdr:row>16</xdr:row>
      <xdr:rowOff>41593</xdr:rowOff>
    </xdr:from>
    <xdr:ext cx="3314946" cy="177036"/>
    <xdr:sp macro="" textlink="">
      <xdr:nvSpPr>
        <xdr:cNvPr id="34" name="TextBox 33">
          <a:hlinkClick xmlns:r="http://schemas.openxmlformats.org/officeDocument/2006/relationships" r:id="rId13" tooltip="Перейти к разделу прайса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925286" y="3137218"/>
          <a:ext cx="3314946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Компактные</a:t>
          </a:r>
          <a:r>
            <a:rPr lang="ru-RU" sz="12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вентиляционные установки</a:t>
          </a:r>
          <a:endParaRPr lang="ru-RU" sz="12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18</xdr:col>
      <xdr:colOff>76200</xdr:colOff>
      <xdr:row>35</xdr:row>
      <xdr:rowOff>38100</xdr:rowOff>
    </xdr:from>
    <xdr:to>
      <xdr:col>31</xdr:col>
      <xdr:colOff>155000</xdr:colOff>
      <xdr:row>43</xdr:row>
      <xdr:rowOff>104775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6D8C15A2-8F0D-46D1-A392-E0B56BAE8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05200" y="6210300"/>
          <a:ext cx="2555300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129539</xdr:colOff>
      <xdr:row>0</xdr:row>
      <xdr:rowOff>91440</xdr:rowOff>
    </xdr:from>
    <xdr:to>
      <xdr:col>32</xdr:col>
      <xdr:colOff>38100</xdr:colOff>
      <xdr:row>7</xdr:row>
      <xdr:rowOff>83820</xdr:rowOff>
    </xdr:to>
    <xdr:pic>
      <xdr:nvPicPr>
        <xdr:cNvPr id="20" name="Рисунок 19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9539" y="91440"/>
          <a:ext cx="6248401" cy="11658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65</xdr:row>
      <xdr:rowOff>9526</xdr:rowOff>
    </xdr:from>
    <xdr:to>
      <xdr:col>3</xdr:col>
      <xdr:colOff>38100</xdr:colOff>
      <xdr:row>67</xdr:row>
      <xdr:rowOff>87169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54276"/>
          <a:ext cx="5391150" cy="45864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17</xdr:row>
      <xdr:rowOff>47625</xdr:rowOff>
    </xdr:from>
    <xdr:to>
      <xdr:col>2</xdr:col>
      <xdr:colOff>1061131</xdr:colOff>
      <xdr:row>17</xdr:row>
      <xdr:rowOff>659625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4648200" y="3190875"/>
          <a:ext cx="584881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24</xdr:row>
      <xdr:rowOff>66675</xdr:rowOff>
    </xdr:from>
    <xdr:to>
      <xdr:col>2</xdr:col>
      <xdr:colOff>858728</xdr:colOff>
      <xdr:row>24</xdr:row>
      <xdr:rowOff>678675</xdr:rowOff>
    </xdr:to>
    <xdr:pic>
      <xdr:nvPicPr>
        <xdr:cNvPr id="24" name="Рисунок 23" descr="http://www.lessar.com/upload/iblock/55a/BDT_Q_M-RU.jpg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95800" y="5114925"/>
          <a:ext cx="534878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10</xdr:row>
      <xdr:rowOff>104775</xdr:rowOff>
    </xdr:from>
    <xdr:to>
      <xdr:col>2</xdr:col>
      <xdr:colOff>935850</xdr:colOff>
      <xdr:row>10</xdr:row>
      <xdr:rowOff>689775</xdr:rowOff>
    </xdr:to>
    <xdr:pic>
      <xdr:nvPicPr>
        <xdr:cNvPr id="26" name="Рисунок 25" descr="http://www.lessar.com/upload/iblock/368/LV-TDC-RU.jpg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0" y="1343025"/>
          <a:ext cx="612000" cy="58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333375</xdr:colOff>
      <xdr:row>34</xdr:row>
      <xdr:rowOff>133350</xdr:rowOff>
    </xdr:from>
    <xdr:to>
      <xdr:col>2</xdr:col>
      <xdr:colOff>868253</xdr:colOff>
      <xdr:row>34</xdr:row>
      <xdr:rowOff>745350</xdr:rowOff>
    </xdr:to>
    <xdr:pic>
      <xdr:nvPicPr>
        <xdr:cNvPr id="27" name="Рисунок 26" descr="http://www.lessar.com/upload/iblock/55a/BDT_Q_M-RU.jpg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05325" y="7658100"/>
          <a:ext cx="534878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409575</xdr:colOff>
      <xdr:row>54</xdr:row>
      <xdr:rowOff>85725</xdr:rowOff>
    </xdr:from>
    <xdr:to>
      <xdr:col>2</xdr:col>
      <xdr:colOff>944453</xdr:colOff>
      <xdr:row>54</xdr:row>
      <xdr:rowOff>697725</xdr:rowOff>
    </xdr:to>
    <xdr:pic>
      <xdr:nvPicPr>
        <xdr:cNvPr id="29" name="Рисунок 28" descr="http://www.lessar.com/upload/iblock/55a/BDT_Q_M-RU.jpg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81525" y="12563475"/>
          <a:ext cx="534878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581025</xdr:colOff>
      <xdr:row>44</xdr:row>
      <xdr:rowOff>114300</xdr:rowOff>
    </xdr:from>
    <xdr:ext cx="534878" cy="612000"/>
    <xdr:pic>
      <xdr:nvPicPr>
        <xdr:cNvPr id="11" name="Рисунок 10" descr="http://www.lessar.com/upload/iblock/55a/BDT_Q_M-RU.jpg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52975" y="10115550"/>
          <a:ext cx="534878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15240</xdr:colOff>
      <xdr:row>6</xdr:row>
      <xdr:rowOff>38100</xdr:rowOff>
    </xdr:to>
    <xdr:pic>
      <xdr:nvPicPr>
        <xdr:cNvPr id="9" name="Рисунок 8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8120" y="182880"/>
          <a:ext cx="5318760" cy="10210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44</xdr:row>
      <xdr:rowOff>9526</xdr:rowOff>
    </xdr:from>
    <xdr:to>
      <xdr:col>3</xdr:col>
      <xdr:colOff>19051</xdr:colOff>
      <xdr:row>46</xdr:row>
      <xdr:rowOff>87169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439276"/>
          <a:ext cx="5295900" cy="45864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10</xdr:row>
      <xdr:rowOff>171450</xdr:rowOff>
    </xdr:from>
    <xdr:to>
      <xdr:col>2</xdr:col>
      <xdr:colOff>783450</xdr:colOff>
      <xdr:row>10</xdr:row>
      <xdr:rowOff>649575</xdr:rowOff>
    </xdr:to>
    <xdr:pic>
      <xdr:nvPicPr>
        <xdr:cNvPr id="15" name="Рисунок 14" descr="http://salda.lt/images/products/items/big/aks.png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3400" y="1409700"/>
          <a:ext cx="612000" cy="47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33</xdr:row>
      <xdr:rowOff>161925</xdr:rowOff>
    </xdr:from>
    <xdr:to>
      <xdr:col>2</xdr:col>
      <xdr:colOff>869175</xdr:colOff>
      <xdr:row>33</xdr:row>
      <xdr:rowOff>601800</xdr:rowOff>
    </xdr:to>
    <xdr:pic>
      <xdr:nvPicPr>
        <xdr:cNvPr id="16" name="Рисунок 15" descr="http://salda.lt/images/products/items/big/SSP_new.png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4429125" y="6924675"/>
          <a:ext cx="612000" cy="43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23</xdr:row>
      <xdr:rowOff>104776</xdr:rowOff>
    </xdr:from>
    <xdr:to>
      <xdr:col>2</xdr:col>
      <xdr:colOff>792975</xdr:colOff>
      <xdr:row>23</xdr:row>
      <xdr:rowOff>690983</xdr:rowOff>
    </xdr:to>
    <xdr:pic>
      <xdr:nvPicPr>
        <xdr:cNvPr id="19" name="Рисунок 18" descr="Шумоглушители для прямоугольных каналов (тип А)_0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2925" y="4391026"/>
          <a:ext cx="612000" cy="586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3</xdr:col>
      <xdr:colOff>15240</xdr:colOff>
      <xdr:row>6</xdr:row>
      <xdr:rowOff>38100</xdr:rowOff>
    </xdr:to>
    <xdr:pic>
      <xdr:nvPicPr>
        <xdr:cNvPr id="6" name="Рисунок 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8120" y="182880"/>
          <a:ext cx="5242560" cy="10210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0</xdr:rowOff>
    </xdr:from>
    <xdr:to>
      <xdr:col>11</xdr:col>
      <xdr:colOff>85725</xdr:colOff>
      <xdr:row>50</xdr:row>
      <xdr:rowOff>77643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49825"/>
          <a:ext cx="5953125" cy="458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9526</xdr:rowOff>
    </xdr:from>
    <xdr:to>
      <xdr:col>3</xdr:col>
      <xdr:colOff>30479</xdr:colOff>
      <xdr:row>28</xdr:row>
      <xdr:rowOff>87169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10626"/>
          <a:ext cx="6492239" cy="443403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</xdr:colOff>
      <xdr:row>8</xdr:row>
      <xdr:rowOff>91440</xdr:rowOff>
    </xdr:from>
    <xdr:to>
      <xdr:col>2</xdr:col>
      <xdr:colOff>1218703</xdr:colOff>
      <xdr:row>8</xdr:row>
      <xdr:rowOff>647636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AF448D5F-55A5-4789-B7C6-AD65AD4F1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3860" y="3086100"/>
          <a:ext cx="1195843" cy="556196"/>
        </a:xfrm>
        <a:prstGeom prst="rect">
          <a:avLst/>
        </a:prstGeom>
      </xdr:spPr>
    </xdr:pic>
    <xdr:clientData/>
  </xdr:twoCellAnchor>
  <xdr:twoCellAnchor editAs="oneCell">
    <xdr:from>
      <xdr:col>1</xdr:col>
      <xdr:colOff>4935855</xdr:colOff>
      <xdr:row>22</xdr:row>
      <xdr:rowOff>64769</xdr:rowOff>
    </xdr:from>
    <xdr:to>
      <xdr:col>3</xdr:col>
      <xdr:colOff>58597</xdr:colOff>
      <xdr:row>22</xdr:row>
      <xdr:rowOff>702944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E7E751C-E9A2-4A25-9415-4E8BCCFE1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33975" y="6930389"/>
          <a:ext cx="1386382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182881</xdr:colOff>
      <xdr:row>0</xdr:row>
      <xdr:rowOff>83820</xdr:rowOff>
    </xdr:from>
    <xdr:to>
      <xdr:col>2</xdr:col>
      <xdr:colOff>1219200</xdr:colOff>
      <xdr:row>4</xdr:row>
      <xdr:rowOff>137160</xdr:rowOff>
    </xdr:to>
    <xdr:pic>
      <xdr:nvPicPr>
        <xdr:cNvPr id="7" name="Рисунок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881" y="83820"/>
          <a:ext cx="6271259" cy="9601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117</xdr:row>
      <xdr:rowOff>12096</xdr:rowOff>
    </xdr:from>
    <xdr:to>
      <xdr:col>2</xdr:col>
      <xdr:colOff>830579</xdr:colOff>
      <xdr:row>119</xdr:row>
      <xdr:rowOff>80511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42856"/>
          <a:ext cx="5212079" cy="43417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</xdr:colOff>
      <xdr:row>9</xdr:row>
      <xdr:rowOff>95250</xdr:rowOff>
    </xdr:from>
    <xdr:to>
      <xdr:col>2</xdr:col>
      <xdr:colOff>764400</xdr:colOff>
      <xdr:row>9</xdr:row>
      <xdr:rowOff>680250</xdr:rowOff>
    </xdr:to>
    <xdr:pic>
      <xdr:nvPicPr>
        <xdr:cNvPr id="22" name="Рисунок 21" descr="http://www.lessar.com/upload/iblock/b9d/FDCP.jpg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2430" y="2366010"/>
          <a:ext cx="722490" cy="58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179070</xdr:colOff>
      <xdr:row>16</xdr:row>
      <xdr:rowOff>211455</xdr:rowOff>
    </xdr:from>
    <xdr:to>
      <xdr:col>2</xdr:col>
      <xdr:colOff>791070</xdr:colOff>
      <xdr:row>16</xdr:row>
      <xdr:rowOff>612315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9590" y="4341495"/>
          <a:ext cx="612000" cy="40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37</xdr:row>
      <xdr:rowOff>200025</xdr:rowOff>
    </xdr:from>
    <xdr:to>
      <xdr:col>2</xdr:col>
      <xdr:colOff>783450</xdr:colOff>
      <xdr:row>37</xdr:row>
      <xdr:rowOff>626130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3400" y="7915275"/>
          <a:ext cx="612000" cy="426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192405</xdr:colOff>
      <xdr:row>68</xdr:row>
      <xdr:rowOff>99060</xdr:rowOff>
    </xdr:from>
    <xdr:to>
      <xdr:col>2</xdr:col>
      <xdr:colOff>827265</xdr:colOff>
      <xdr:row>68</xdr:row>
      <xdr:rowOff>684060</xdr:rowOff>
    </xdr:to>
    <xdr:pic>
      <xdr:nvPicPr>
        <xdr:cNvPr id="54" name="Рисунок 53" descr="http://www.lessar.com/upload/iblock/ee5/LV-FRCV-RU.jpg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9985" y="17175480"/>
          <a:ext cx="634860" cy="58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93</xdr:row>
      <xdr:rowOff>123825</xdr:rowOff>
    </xdr:from>
    <xdr:to>
      <xdr:col>2</xdr:col>
      <xdr:colOff>806310</xdr:colOff>
      <xdr:row>93</xdr:row>
      <xdr:rowOff>708825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9030" y="22351365"/>
          <a:ext cx="634860" cy="58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627240</xdr:colOff>
      <xdr:row>9</xdr:row>
      <xdr:rowOff>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2328" y="2095500"/>
          <a:ext cx="612000" cy="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386986</xdr:colOff>
      <xdr:row>9</xdr:row>
      <xdr:rowOff>0</xdr:rowOff>
    </xdr:from>
    <xdr:to>
      <xdr:col>2</xdr:col>
      <xdr:colOff>503376</xdr:colOff>
      <xdr:row>9</xdr:row>
      <xdr:rowOff>0</xdr:rowOff>
    </xdr:to>
    <xdr:pic>
      <xdr:nvPicPr>
        <xdr:cNvPr id="66" name="Рисунок 65">
          <a:hlinkClick xmlns:r="http://schemas.openxmlformats.org/officeDocument/2006/relationships" r:id="rId8" tooltip="Подробная информация на сайте lessar.com"/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6611" y="2114550"/>
          <a:ext cx="116390" cy="21628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50</xdr:row>
      <xdr:rowOff>85725</xdr:rowOff>
    </xdr:from>
    <xdr:to>
      <xdr:col>2</xdr:col>
      <xdr:colOff>740862</xdr:colOff>
      <xdr:row>50</xdr:row>
      <xdr:rowOff>697725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4350" y="10848975"/>
          <a:ext cx="588462" cy="6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7621</xdr:colOff>
      <xdr:row>0</xdr:row>
      <xdr:rowOff>83820</xdr:rowOff>
    </xdr:from>
    <xdr:to>
      <xdr:col>3</xdr:col>
      <xdr:colOff>15240</xdr:colOff>
      <xdr:row>5</xdr:row>
      <xdr:rowOff>135427</xdr:rowOff>
    </xdr:to>
    <xdr:pic>
      <xdr:nvPicPr>
        <xdr:cNvPr id="13" name="Рисунок 12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5741" y="83820"/>
          <a:ext cx="5219699" cy="9660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119</xdr:row>
      <xdr:rowOff>1</xdr:rowOff>
    </xdr:from>
    <xdr:to>
      <xdr:col>3</xdr:col>
      <xdr:colOff>28575</xdr:colOff>
      <xdr:row>121</xdr:row>
      <xdr:rowOff>77644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18126"/>
          <a:ext cx="5495925" cy="458643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</xdr:row>
      <xdr:rowOff>66675</xdr:rowOff>
    </xdr:from>
    <xdr:to>
      <xdr:col>2</xdr:col>
      <xdr:colOff>589946</xdr:colOff>
      <xdr:row>9</xdr:row>
      <xdr:rowOff>678675</xdr:rowOff>
    </xdr:to>
    <xdr:pic>
      <xdr:nvPicPr>
        <xdr:cNvPr id="22" name="Рисунок 21" descr="http://salda.lt/images/products/items/big/AP.png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00600" y="1304925"/>
          <a:ext cx="513746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16</xdr:row>
      <xdr:rowOff>85725</xdr:rowOff>
    </xdr:from>
    <xdr:to>
      <xdr:col>2</xdr:col>
      <xdr:colOff>664150</xdr:colOff>
      <xdr:row>16</xdr:row>
      <xdr:rowOff>697725</xdr:rowOff>
    </xdr:to>
    <xdr:pic>
      <xdr:nvPicPr>
        <xdr:cNvPr id="23" name="Рисунок 22" descr="http://salda.lt/images/products/items/big/LJ_PG.png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38700" y="3228975"/>
          <a:ext cx="549850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26</xdr:row>
      <xdr:rowOff>104775</xdr:rowOff>
    </xdr:from>
    <xdr:to>
      <xdr:col>2</xdr:col>
      <xdr:colOff>593150</xdr:colOff>
      <xdr:row>26</xdr:row>
      <xdr:rowOff>716775</xdr:rowOff>
    </xdr:to>
    <xdr:pic>
      <xdr:nvPicPr>
        <xdr:cNvPr id="25" name="Рисунок 24" descr="http://salda.lt/images/products/items/big/LJ_PG.png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1100" y="5724525"/>
          <a:ext cx="326450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31195</xdr:colOff>
      <xdr:row>47</xdr:row>
      <xdr:rowOff>76200</xdr:rowOff>
    </xdr:from>
    <xdr:to>
      <xdr:col>2</xdr:col>
      <xdr:colOff>614747</xdr:colOff>
      <xdr:row>48</xdr:row>
      <xdr:rowOff>2400</xdr:rowOff>
    </xdr:to>
    <xdr:pic>
      <xdr:nvPicPr>
        <xdr:cNvPr id="34" name="Рисунок 33" descr="http://salda.lt/images/products/items/big/KSP.png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55595" y="10267950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53</xdr:row>
      <xdr:rowOff>133350</xdr:rowOff>
    </xdr:from>
    <xdr:to>
      <xdr:col>2</xdr:col>
      <xdr:colOff>631177</xdr:colOff>
      <xdr:row>53</xdr:row>
      <xdr:rowOff>745350</xdr:rowOff>
    </xdr:to>
    <xdr:pic>
      <xdr:nvPicPr>
        <xdr:cNvPr id="14" name="Рисунок 13" descr="http://salda.lt/images/products/items/big/KSP.png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72025" y="11963400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59</xdr:row>
      <xdr:rowOff>114300</xdr:rowOff>
    </xdr:from>
    <xdr:to>
      <xdr:col>2</xdr:col>
      <xdr:colOff>631177</xdr:colOff>
      <xdr:row>59</xdr:row>
      <xdr:rowOff>726300</xdr:rowOff>
    </xdr:to>
    <xdr:pic>
      <xdr:nvPicPr>
        <xdr:cNvPr id="15" name="Рисунок 14" descr="http://salda.lt/images/products/items/big/KSP.png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72025" y="13687425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65</xdr:row>
      <xdr:rowOff>85725</xdr:rowOff>
    </xdr:from>
    <xdr:to>
      <xdr:col>2</xdr:col>
      <xdr:colOff>735952</xdr:colOff>
      <xdr:row>65</xdr:row>
      <xdr:rowOff>697725</xdr:rowOff>
    </xdr:to>
    <xdr:pic>
      <xdr:nvPicPr>
        <xdr:cNvPr id="16" name="Рисунок 15" descr="http://salda.lt/images/products/items/big/KSP.png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5373350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71</xdr:row>
      <xdr:rowOff>104775</xdr:rowOff>
    </xdr:from>
    <xdr:to>
      <xdr:col>2</xdr:col>
      <xdr:colOff>688327</xdr:colOff>
      <xdr:row>71</xdr:row>
      <xdr:rowOff>716775</xdr:rowOff>
    </xdr:to>
    <xdr:pic>
      <xdr:nvPicPr>
        <xdr:cNvPr id="17" name="Рисунок 16" descr="http://salda.lt/images/products/items/big/KSP.png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9175" y="17106900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77</xdr:row>
      <xdr:rowOff>95250</xdr:rowOff>
    </xdr:from>
    <xdr:to>
      <xdr:col>2</xdr:col>
      <xdr:colOff>678802</xdr:colOff>
      <xdr:row>77</xdr:row>
      <xdr:rowOff>707250</xdr:rowOff>
    </xdr:to>
    <xdr:pic>
      <xdr:nvPicPr>
        <xdr:cNvPr id="18" name="Рисунок 17" descr="http://salda.lt/images/products/items/big/KSP.png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9650" y="18811875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83</xdr:row>
      <xdr:rowOff>114300</xdr:rowOff>
    </xdr:from>
    <xdr:to>
      <xdr:col>2</xdr:col>
      <xdr:colOff>612127</xdr:colOff>
      <xdr:row>83</xdr:row>
      <xdr:rowOff>726300</xdr:rowOff>
    </xdr:to>
    <xdr:pic>
      <xdr:nvPicPr>
        <xdr:cNvPr id="19" name="Рисунок 18" descr="http://salda.lt/images/products/items/big/KSP.png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52975" y="20545425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89</xdr:row>
      <xdr:rowOff>66675</xdr:rowOff>
    </xdr:from>
    <xdr:to>
      <xdr:col>2</xdr:col>
      <xdr:colOff>650227</xdr:colOff>
      <xdr:row>89</xdr:row>
      <xdr:rowOff>678675</xdr:rowOff>
    </xdr:to>
    <xdr:pic>
      <xdr:nvPicPr>
        <xdr:cNvPr id="20" name="Рисунок 19" descr="http://salda.lt/images/products/items/big/KSP.png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91075" y="22212300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95</xdr:row>
      <xdr:rowOff>104775</xdr:rowOff>
    </xdr:from>
    <xdr:to>
      <xdr:col>2</xdr:col>
      <xdr:colOff>669277</xdr:colOff>
      <xdr:row>95</xdr:row>
      <xdr:rowOff>716775</xdr:rowOff>
    </xdr:to>
    <xdr:pic>
      <xdr:nvPicPr>
        <xdr:cNvPr id="21" name="Рисунок 20" descr="http://salda.lt/images/products/items/big/KSP.png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0125" y="23964900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101</xdr:row>
      <xdr:rowOff>76200</xdr:rowOff>
    </xdr:from>
    <xdr:to>
      <xdr:col>2</xdr:col>
      <xdr:colOff>678802</xdr:colOff>
      <xdr:row>101</xdr:row>
      <xdr:rowOff>688200</xdr:rowOff>
    </xdr:to>
    <xdr:pic>
      <xdr:nvPicPr>
        <xdr:cNvPr id="30" name="Рисунок 29" descr="http://salda.lt/images/products/items/big/KSP.png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9650" y="25650825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107</xdr:row>
      <xdr:rowOff>114300</xdr:rowOff>
    </xdr:from>
    <xdr:to>
      <xdr:col>2</xdr:col>
      <xdr:colOff>669277</xdr:colOff>
      <xdr:row>107</xdr:row>
      <xdr:rowOff>726300</xdr:rowOff>
    </xdr:to>
    <xdr:pic>
      <xdr:nvPicPr>
        <xdr:cNvPr id="31" name="Рисунок 30" descr="http://salda.lt/images/products/items/big/KSP.png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0125" y="27403425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113</xdr:row>
      <xdr:rowOff>114300</xdr:rowOff>
    </xdr:from>
    <xdr:to>
      <xdr:col>2</xdr:col>
      <xdr:colOff>678802</xdr:colOff>
      <xdr:row>113</xdr:row>
      <xdr:rowOff>726300</xdr:rowOff>
    </xdr:to>
    <xdr:pic>
      <xdr:nvPicPr>
        <xdr:cNvPr id="32" name="Рисунок 31" descr="http://salda.lt/images/products/items/big/KSP.png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9650" y="29117925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0</xdr:row>
      <xdr:rowOff>38101</xdr:rowOff>
    </xdr:from>
    <xdr:to>
      <xdr:col>3</xdr:col>
      <xdr:colOff>22860</xdr:colOff>
      <xdr:row>5</xdr:row>
      <xdr:rowOff>144781</xdr:rowOff>
    </xdr:to>
    <xdr:pic>
      <xdr:nvPicPr>
        <xdr:cNvPr id="2" name="Рисунок 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1" y="38101"/>
          <a:ext cx="5455919" cy="10210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156</xdr:row>
      <xdr:rowOff>9526</xdr:rowOff>
    </xdr:from>
    <xdr:to>
      <xdr:col>2</xdr:col>
      <xdr:colOff>1203960</xdr:colOff>
      <xdr:row>158</xdr:row>
      <xdr:rowOff>87169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548706"/>
          <a:ext cx="5494020" cy="443403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36</xdr:row>
      <xdr:rowOff>180975</xdr:rowOff>
    </xdr:from>
    <xdr:to>
      <xdr:col>2</xdr:col>
      <xdr:colOff>869175</xdr:colOff>
      <xdr:row>36</xdr:row>
      <xdr:rowOff>595338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29125" y="7410450"/>
          <a:ext cx="612000" cy="414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82</xdr:row>
      <xdr:rowOff>180975</xdr:rowOff>
    </xdr:from>
    <xdr:to>
      <xdr:col>2</xdr:col>
      <xdr:colOff>773925</xdr:colOff>
      <xdr:row>82</xdr:row>
      <xdr:rowOff>538886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333875" y="16744950"/>
          <a:ext cx="612000" cy="35791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9</xdr:row>
      <xdr:rowOff>76200</xdr:rowOff>
    </xdr:from>
    <xdr:to>
      <xdr:col>2</xdr:col>
      <xdr:colOff>897750</xdr:colOff>
      <xdr:row>9</xdr:row>
      <xdr:rowOff>657600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57700" y="1314450"/>
          <a:ext cx="612000" cy="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781050</xdr:colOff>
      <xdr:row>120</xdr:row>
      <xdr:rowOff>542925</xdr:rowOff>
    </xdr:from>
    <xdr:to>
      <xdr:col>3</xdr:col>
      <xdr:colOff>211950</xdr:colOff>
      <xdr:row>120</xdr:row>
      <xdr:rowOff>900836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953000" y="24917400"/>
          <a:ext cx="612000" cy="357911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182881</xdr:colOff>
      <xdr:row>0</xdr:row>
      <xdr:rowOff>60960</xdr:rowOff>
    </xdr:from>
    <xdr:to>
      <xdr:col>3</xdr:col>
      <xdr:colOff>1</xdr:colOff>
      <xdr:row>5</xdr:row>
      <xdr:rowOff>167640</xdr:rowOff>
    </xdr:to>
    <xdr:pic>
      <xdr:nvPicPr>
        <xdr:cNvPr id="7" name="Рисунок 6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2881" y="60960"/>
          <a:ext cx="5318760" cy="10210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84</xdr:row>
      <xdr:rowOff>9526</xdr:rowOff>
    </xdr:from>
    <xdr:to>
      <xdr:col>3</xdr:col>
      <xdr:colOff>9525</xdr:colOff>
      <xdr:row>86</xdr:row>
      <xdr:rowOff>87169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87776"/>
          <a:ext cx="5324475" cy="458643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47</xdr:row>
      <xdr:rowOff>238124</xdr:rowOff>
    </xdr:from>
    <xdr:to>
      <xdr:col>2</xdr:col>
      <xdr:colOff>945375</xdr:colOff>
      <xdr:row>47</xdr:row>
      <xdr:rowOff>616546</xdr:rowOff>
    </xdr:to>
    <xdr:pic>
      <xdr:nvPicPr>
        <xdr:cNvPr id="10" name="Рисунок 9" descr="http://www.lessar.com/upload/iblock/d20/CDTF-RU.jpg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05325" y="9096374"/>
          <a:ext cx="612000" cy="378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371475</xdr:colOff>
      <xdr:row>10</xdr:row>
      <xdr:rowOff>228599</xdr:rowOff>
    </xdr:from>
    <xdr:to>
      <xdr:col>2</xdr:col>
      <xdr:colOff>983475</xdr:colOff>
      <xdr:row>10</xdr:row>
      <xdr:rowOff>607021</xdr:rowOff>
    </xdr:to>
    <xdr:pic>
      <xdr:nvPicPr>
        <xdr:cNvPr id="11" name="Рисунок 10" descr="http://www.lessar.com/upload/iblock/d20/CDTF-RU.jpg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43425" y="1466849"/>
          <a:ext cx="612000" cy="378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4</xdr:col>
      <xdr:colOff>2400</xdr:colOff>
      <xdr:row>10</xdr:row>
      <xdr:rowOff>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2328" y="2095500"/>
          <a:ext cx="612000" cy="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386986</xdr:colOff>
      <xdr:row>10</xdr:row>
      <xdr:rowOff>0</xdr:rowOff>
    </xdr:from>
    <xdr:to>
      <xdr:col>2</xdr:col>
      <xdr:colOff>503376</xdr:colOff>
      <xdr:row>10</xdr:row>
      <xdr:rowOff>0</xdr:rowOff>
    </xdr:to>
    <xdr:pic>
      <xdr:nvPicPr>
        <xdr:cNvPr id="14" name="Рисунок 13">
          <a:hlinkClick xmlns:r="http://schemas.openxmlformats.org/officeDocument/2006/relationships" r:id="rId4" tooltip="Подробная информация на сайте lessar.com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6611" y="2114550"/>
          <a:ext cx="116390" cy="2162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3</xdr:col>
      <xdr:colOff>53340</xdr:colOff>
      <xdr:row>6</xdr:row>
      <xdr:rowOff>106680</xdr:rowOff>
    </xdr:to>
    <xdr:pic>
      <xdr:nvPicPr>
        <xdr:cNvPr id="7" name="Рисунок 6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8120" y="182880"/>
          <a:ext cx="5318760" cy="10210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3</xdr:col>
      <xdr:colOff>28575</xdr:colOff>
      <xdr:row>21</xdr:row>
      <xdr:rowOff>77643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4750"/>
          <a:ext cx="5133975" cy="458643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9</xdr:row>
      <xdr:rowOff>171450</xdr:rowOff>
    </xdr:from>
    <xdr:to>
      <xdr:col>2</xdr:col>
      <xdr:colOff>850125</xdr:colOff>
      <xdr:row>9</xdr:row>
      <xdr:rowOff>657208</xdr:rowOff>
    </xdr:to>
    <xdr:pic>
      <xdr:nvPicPr>
        <xdr:cNvPr id="5" name="Рисунок 4" descr="Рекуператоры пластинчатые для прямоугольных каналов_0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10075" y="1409700"/>
          <a:ext cx="612000" cy="485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4</xdr:col>
      <xdr:colOff>2400</xdr:colOff>
      <xdr:row>9</xdr:row>
      <xdr:rowOff>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2328" y="2095500"/>
          <a:ext cx="612000" cy="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386986</xdr:colOff>
      <xdr:row>9</xdr:row>
      <xdr:rowOff>0</xdr:rowOff>
    </xdr:from>
    <xdr:to>
      <xdr:col>2</xdr:col>
      <xdr:colOff>503376</xdr:colOff>
      <xdr:row>9</xdr:row>
      <xdr:rowOff>0</xdr:rowOff>
    </xdr:to>
    <xdr:pic>
      <xdr:nvPicPr>
        <xdr:cNvPr id="10" name="Рисунок 9">
          <a:hlinkClick xmlns:r="http://schemas.openxmlformats.org/officeDocument/2006/relationships" r:id="rId4" tooltip="Подробная информация на сайте lessar.com"/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6611" y="2114550"/>
          <a:ext cx="116390" cy="216284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0</xdr:row>
      <xdr:rowOff>76200</xdr:rowOff>
    </xdr:from>
    <xdr:to>
      <xdr:col>2</xdr:col>
      <xdr:colOff>952500</xdr:colOff>
      <xdr:row>5</xdr:row>
      <xdr:rowOff>121920</xdr:rowOff>
    </xdr:to>
    <xdr:pic>
      <xdr:nvPicPr>
        <xdr:cNvPr id="6" name="Рисунок 5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2880" y="76200"/>
          <a:ext cx="5059680" cy="9601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119</xdr:row>
      <xdr:rowOff>9526</xdr:rowOff>
    </xdr:from>
    <xdr:to>
      <xdr:col>3</xdr:col>
      <xdr:colOff>28575</xdr:colOff>
      <xdr:row>121</xdr:row>
      <xdr:rowOff>87169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31776"/>
          <a:ext cx="5133975" cy="458643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9</xdr:row>
      <xdr:rowOff>104775</xdr:rowOff>
    </xdr:from>
    <xdr:to>
      <xdr:col>2</xdr:col>
      <xdr:colOff>888225</xdr:colOff>
      <xdr:row>9</xdr:row>
      <xdr:rowOff>689775</xdr:rowOff>
    </xdr:to>
    <xdr:pic>
      <xdr:nvPicPr>
        <xdr:cNvPr id="17" name="Рисунок 16" descr="http://www.lessar.com/upload/iblock/a96/KDCS-RU_1.jpg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67200" y="1343025"/>
          <a:ext cx="612000" cy="58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647700</xdr:colOff>
      <xdr:row>23</xdr:row>
      <xdr:rowOff>190500</xdr:rowOff>
    </xdr:from>
    <xdr:to>
      <xdr:col>3</xdr:col>
      <xdr:colOff>145275</xdr:colOff>
      <xdr:row>23</xdr:row>
      <xdr:rowOff>685636</xdr:rowOff>
    </xdr:to>
    <xdr:pic>
      <xdr:nvPicPr>
        <xdr:cNvPr id="19" name="Рисунок 18" descr="http://www.lessar.com/upload/iblock/827/KDTK-RU_1.jpg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4638675" y="5238750"/>
          <a:ext cx="612000" cy="495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457200</xdr:colOff>
      <xdr:row>97</xdr:row>
      <xdr:rowOff>76199</xdr:rowOff>
    </xdr:from>
    <xdr:to>
      <xdr:col>2</xdr:col>
      <xdr:colOff>991622</xdr:colOff>
      <xdr:row>97</xdr:row>
      <xdr:rowOff>688199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 flipH="1">
          <a:off x="4409386" y="20403238"/>
          <a:ext cx="612000" cy="53442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4</xdr:col>
      <xdr:colOff>2400</xdr:colOff>
      <xdr:row>9</xdr:row>
      <xdr:rowOff>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2328" y="2095500"/>
          <a:ext cx="612000" cy="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386986</xdr:colOff>
      <xdr:row>9</xdr:row>
      <xdr:rowOff>0</xdr:rowOff>
    </xdr:from>
    <xdr:to>
      <xdr:col>2</xdr:col>
      <xdr:colOff>503376</xdr:colOff>
      <xdr:row>9</xdr:row>
      <xdr:rowOff>0</xdr:rowOff>
    </xdr:to>
    <xdr:pic>
      <xdr:nvPicPr>
        <xdr:cNvPr id="24" name="Рисунок 23">
          <a:hlinkClick xmlns:r="http://schemas.openxmlformats.org/officeDocument/2006/relationships" r:id="rId6" tooltip="Подробная информация на сайте lessar.com"/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6611" y="2114550"/>
          <a:ext cx="116390" cy="216284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0</xdr:row>
      <xdr:rowOff>53340</xdr:rowOff>
    </xdr:from>
    <xdr:to>
      <xdr:col>2</xdr:col>
      <xdr:colOff>1135380</xdr:colOff>
      <xdr:row>5</xdr:row>
      <xdr:rowOff>160020</xdr:rowOff>
    </xdr:to>
    <xdr:pic>
      <xdr:nvPicPr>
        <xdr:cNvPr id="8" name="Рисунок 7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" y="53340"/>
          <a:ext cx="5067300" cy="102108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pubhtml?gid=0&amp;single=true" refreshOnLoad="1" removeDataOnSave="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2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ksktrade.ru/catalog/ventilyatsiya/" TargetMode="External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45.bin"/><Relationship Id="rId4" Type="http://schemas.openxmlformats.org/officeDocument/2006/relationships/hyperlink" Target="https://ksktrade.ru/catalog/ventilyatsiya/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ventilyatsiya/" TargetMode="External"/><Relationship Id="rId3" Type="http://schemas.openxmlformats.org/officeDocument/2006/relationships/hyperlink" Target="https://ksktrade.ru/catalog/ventilyatsiya/" TargetMode="External"/><Relationship Id="rId7" Type="http://schemas.openxmlformats.org/officeDocument/2006/relationships/hyperlink" Target="https://ksktrade.ru/catalog/ventilyatsiya/" TargetMode="Externa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6" Type="http://schemas.openxmlformats.org/officeDocument/2006/relationships/hyperlink" Target="https://ksktrade.ru/catalog/ventilyatsiya/" TargetMode="External"/><Relationship Id="rId11" Type="http://schemas.openxmlformats.org/officeDocument/2006/relationships/drawing" Target="../drawings/drawing4.xml"/><Relationship Id="rId5" Type="http://schemas.openxmlformats.org/officeDocument/2006/relationships/hyperlink" Target="https://ksktrade.ru/catalog/ventilyatsiya/" TargetMode="External"/><Relationship Id="rId10" Type="http://schemas.openxmlformats.org/officeDocument/2006/relationships/printerSettings" Target="../printerSettings/printerSettings48.bin"/><Relationship Id="rId4" Type="http://schemas.openxmlformats.org/officeDocument/2006/relationships/hyperlink" Target="https://ksktrade.ru/catalog/ventilyatsiya/" TargetMode="External"/><Relationship Id="rId9" Type="http://schemas.openxmlformats.org/officeDocument/2006/relationships/hyperlink" Target="https://ksktrade.ru/catalog/ventilyatsiya/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ventilyatsiya/" TargetMode="External"/><Relationship Id="rId13" Type="http://schemas.openxmlformats.org/officeDocument/2006/relationships/hyperlink" Target="https://ksktrade.ru/catalog/ventilyatsiya/" TargetMode="External"/><Relationship Id="rId18" Type="http://schemas.openxmlformats.org/officeDocument/2006/relationships/printerSettings" Target="../printerSettings/printerSettings51.bin"/><Relationship Id="rId3" Type="http://schemas.openxmlformats.org/officeDocument/2006/relationships/hyperlink" Target="https://ksktrade.ru/catalog/ventilyatsiya/" TargetMode="External"/><Relationship Id="rId7" Type="http://schemas.openxmlformats.org/officeDocument/2006/relationships/hyperlink" Target="https://ksktrade.ru/catalog/ventilyatsiya/" TargetMode="External"/><Relationship Id="rId12" Type="http://schemas.openxmlformats.org/officeDocument/2006/relationships/hyperlink" Target="https://ksktrade.ru/catalog/ventilyatsiya/" TargetMode="External"/><Relationship Id="rId17" Type="http://schemas.openxmlformats.org/officeDocument/2006/relationships/hyperlink" Target="https://ksktrade.ru/catalog/ventilyatsiya/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https://ksktrade.ru/catalog/ventilyatsiya/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hyperlink" Target="https://ksktrade.ru/catalog/ventilyatsiya/" TargetMode="External"/><Relationship Id="rId11" Type="http://schemas.openxmlformats.org/officeDocument/2006/relationships/hyperlink" Target="https://ksktrade.ru/catalog/ventilyatsiya/" TargetMode="External"/><Relationship Id="rId5" Type="http://schemas.openxmlformats.org/officeDocument/2006/relationships/hyperlink" Target="https://ksktrade.ru/catalog/ventilyatsiya/" TargetMode="External"/><Relationship Id="rId15" Type="http://schemas.openxmlformats.org/officeDocument/2006/relationships/hyperlink" Target="https://ksktrade.ru/catalog/ventilyatsiya/" TargetMode="External"/><Relationship Id="rId10" Type="http://schemas.openxmlformats.org/officeDocument/2006/relationships/hyperlink" Target="https://ksktrade.ru/catalog/ventilyatsiya/" TargetMode="External"/><Relationship Id="rId19" Type="http://schemas.openxmlformats.org/officeDocument/2006/relationships/drawing" Target="../drawings/drawing5.xml"/><Relationship Id="rId4" Type="http://schemas.openxmlformats.org/officeDocument/2006/relationships/hyperlink" Target="https://ksktrade.ru/catalog/ventilyatsiya/" TargetMode="External"/><Relationship Id="rId9" Type="http://schemas.openxmlformats.org/officeDocument/2006/relationships/hyperlink" Target="https://ksktrade.ru/catalog/ventilyatsiya/" TargetMode="External"/><Relationship Id="rId14" Type="http://schemas.openxmlformats.org/officeDocument/2006/relationships/hyperlink" Target="https://ksktrade.ru/catalog/ventilyatsiya/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.bin"/><Relationship Id="rId3" Type="http://schemas.openxmlformats.org/officeDocument/2006/relationships/hyperlink" Target="https://ksktrade.ru/catalog/ventilyatsiya/" TargetMode="External"/><Relationship Id="rId7" Type="http://schemas.openxmlformats.org/officeDocument/2006/relationships/hyperlink" Target="https://ksktrade.ru/catalog/ventilyatsiya/" TargetMode="External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6" Type="http://schemas.openxmlformats.org/officeDocument/2006/relationships/hyperlink" Target="https://ksktrade.ru/catalog/ventilyatsiya/" TargetMode="External"/><Relationship Id="rId5" Type="http://schemas.openxmlformats.org/officeDocument/2006/relationships/hyperlink" Target="https://ksktrade.ru/catalog/ventilyatsiya/" TargetMode="External"/><Relationship Id="rId4" Type="http://schemas.openxmlformats.org/officeDocument/2006/relationships/hyperlink" Target="https://ksktrade.ru/catalog/ventilyatsiya/" TargetMode="External"/><Relationship Id="rId9" Type="http://schemas.openxmlformats.org/officeDocument/2006/relationships/drawing" Target="../drawings/drawing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ksktrade.ru/catalog/ventilyatsiya/" TargetMode="External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57.bin"/><Relationship Id="rId4" Type="http://schemas.openxmlformats.org/officeDocument/2006/relationships/hyperlink" Target="https://ksktrade.ru/catalog/ventilyatsiya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ksktrade.ru/catalog/ventilyatsiya/" TargetMode="External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6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ventilyatsiya/" TargetMode="External"/><Relationship Id="rId3" Type="http://schemas.openxmlformats.org/officeDocument/2006/relationships/hyperlink" Target="https://ksktrade.ru/catalog/ventilyatsiya/" TargetMode="External"/><Relationship Id="rId7" Type="http://schemas.openxmlformats.org/officeDocument/2006/relationships/hyperlink" Target="https://ksktrade.ru/catalog/ventilyatsiya/" TargetMode="External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hyperlink" Target="https://ksktrade.ru/catalog/ventilyatsiya/" TargetMode="External"/><Relationship Id="rId5" Type="http://schemas.openxmlformats.org/officeDocument/2006/relationships/hyperlink" Target="https://ksktrade.ru/catalog/ventilyatsiya/" TargetMode="External"/><Relationship Id="rId10" Type="http://schemas.openxmlformats.org/officeDocument/2006/relationships/drawing" Target="../drawings/drawing9.xml"/><Relationship Id="rId4" Type="http://schemas.openxmlformats.org/officeDocument/2006/relationships/hyperlink" Target="https://ksktrade.ru/catalog/ventilyatsiya/" TargetMode="External"/><Relationship Id="rId9" Type="http://schemas.openxmlformats.org/officeDocument/2006/relationships/printerSettings" Target="../printerSettings/printerSettings63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ventilyatsiya/" TargetMode="External"/><Relationship Id="rId3" Type="http://schemas.openxmlformats.org/officeDocument/2006/relationships/hyperlink" Target="https://ksktrade.ru/catalog/ventilyatsiya/" TargetMode="External"/><Relationship Id="rId7" Type="http://schemas.openxmlformats.org/officeDocument/2006/relationships/hyperlink" Target="https://ksktrade.ru/catalog/ventilyatsiya/" TargetMode="External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Relationship Id="rId6" Type="http://schemas.openxmlformats.org/officeDocument/2006/relationships/hyperlink" Target="https://ksktrade.ru/catalog/ventilyatsiya/" TargetMode="External"/><Relationship Id="rId5" Type="http://schemas.openxmlformats.org/officeDocument/2006/relationships/hyperlink" Target="https://ksktrade.ru/catalog/ventilyatsiya/" TargetMode="External"/><Relationship Id="rId10" Type="http://schemas.openxmlformats.org/officeDocument/2006/relationships/drawing" Target="../drawings/drawing10.xml"/><Relationship Id="rId4" Type="http://schemas.openxmlformats.org/officeDocument/2006/relationships/hyperlink" Target="https://ksktrade.ru/catalog/ventilyatsiya/" TargetMode="External"/><Relationship Id="rId9" Type="http://schemas.openxmlformats.org/officeDocument/2006/relationships/printerSettings" Target="../printerSettings/printerSettings66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ksktrade.ru/catalog/ventilyatsiya/" TargetMode="External"/><Relationship Id="rId7" Type="http://schemas.openxmlformats.org/officeDocument/2006/relationships/drawing" Target="../drawings/drawing11.xml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69.bin"/><Relationship Id="rId5" Type="http://schemas.openxmlformats.org/officeDocument/2006/relationships/hyperlink" Target="https://ksktrade.ru/catalog/ventilyatsiya/" TargetMode="External"/><Relationship Id="rId4" Type="http://schemas.openxmlformats.org/officeDocument/2006/relationships/hyperlink" Target="https://ksktrade.ru/catalog/ventilyatsiya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BFF3F2"/>
  </sheetPr>
  <dimension ref="A9:AF67"/>
  <sheetViews>
    <sheetView showGridLines="0" tabSelected="1" zoomScaleNormal="100" zoomScaleSheetLayoutView="100" zoomScalePageLayoutView="40" workbookViewId="0">
      <selection activeCell="AL10" sqref="AL10"/>
    </sheetView>
  </sheetViews>
  <sheetFormatPr defaultColWidth="9.109375" defaultRowHeight="13.2"/>
  <cols>
    <col min="1" max="9" width="2.88671875" style="165" customWidth="1"/>
    <col min="10" max="26" width="2.88671875" style="379" customWidth="1"/>
    <col min="27" max="32" width="2.88671875" style="165" customWidth="1"/>
    <col min="33" max="248" width="9.109375" style="165" customWidth="1"/>
    <col min="249" max="16384" width="9.109375" style="165"/>
  </cols>
  <sheetData>
    <row r="9" spans="1:32" s="430" customFormat="1" ht="31.2" customHeight="1">
      <c r="A9" s="556"/>
      <c r="B9" s="557"/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557"/>
      <c r="W9" s="557"/>
      <c r="X9" s="557"/>
      <c r="Y9" s="557"/>
      <c r="Z9" s="557"/>
      <c r="AA9" s="557"/>
      <c r="AB9" s="557"/>
      <c r="AC9" s="557"/>
      <c r="AD9" s="557"/>
      <c r="AE9" s="557"/>
      <c r="AF9" s="558"/>
    </row>
    <row r="10" spans="1:32" s="430" customFormat="1" ht="36.6" customHeight="1">
      <c r="A10" s="437"/>
      <c r="B10" s="429"/>
      <c r="C10" s="429"/>
      <c r="D10" s="429"/>
      <c r="E10" s="480"/>
      <c r="F10" s="429"/>
      <c r="G10" s="429"/>
      <c r="H10" s="429"/>
      <c r="I10" s="437"/>
      <c r="J10" s="437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  <c r="Z10" s="439"/>
      <c r="AA10" s="439"/>
      <c r="AB10" s="439"/>
      <c r="AC10" s="439"/>
      <c r="AD10" s="439"/>
      <c r="AE10" s="439"/>
      <c r="AF10" s="439"/>
    </row>
    <row r="11" spans="1:32" s="430" customFormat="1" ht="22.8" customHeight="1">
      <c r="A11" s="437"/>
      <c r="B11" s="429"/>
      <c r="C11" s="429"/>
      <c r="D11" s="429"/>
      <c r="E11" s="436" t="s">
        <v>2250</v>
      </c>
      <c r="F11" s="429"/>
      <c r="G11" s="438"/>
      <c r="H11" s="438"/>
      <c r="I11" s="429"/>
      <c r="J11" s="437"/>
      <c r="K11" s="439"/>
      <c r="L11" s="439"/>
      <c r="M11" s="439"/>
      <c r="N11" s="439"/>
      <c r="O11" s="439"/>
      <c r="P11" s="439"/>
      <c r="Q11" s="439"/>
      <c r="R11" s="439"/>
      <c r="S11" s="439"/>
      <c r="T11" s="439"/>
      <c r="U11" s="439"/>
      <c r="V11" s="439"/>
      <c r="W11" s="439"/>
      <c r="X11" s="439"/>
      <c r="Y11" s="568"/>
      <c r="Z11" s="568"/>
      <c r="AA11" s="568"/>
      <c r="AB11" s="568"/>
      <c r="AC11" s="568"/>
      <c r="AD11" s="568"/>
      <c r="AE11" s="568"/>
      <c r="AF11" s="568"/>
    </row>
    <row r="12" spans="1:32" s="430" customFormat="1" ht="24" customHeight="1">
      <c r="A12" s="447"/>
      <c r="B12" s="448"/>
      <c r="C12" s="448"/>
      <c r="D12" s="448"/>
      <c r="E12" s="451" t="s">
        <v>540</v>
      </c>
      <c r="F12" s="449"/>
      <c r="G12" s="450"/>
      <c r="H12" s="448"/>
      <c r="I12" s="448"/>
      <c r="J12" s="447"/>
      <c r="K12" s="447"/>
      <c r="L12" s="447"/>
      <c r="M12" s="447"/>
      <c r="N12" s="447"/>
      <c r="O12" s="447"/>
      <c r="P12" s="447"/>
      <c r="Q12" s="447"/>
      <c r="R12" s="447"/>
      <c r="S12" s="447"/>
      <c r="T12" s="447"/>
      <c r="U12" s="447"/>
      <c r="V12" s="447"/>
      <c r="W12" s="447"/>
      <c r="X12" s="447"/>
      <c r="Y12" s="447"/>
      <c r="Z12" s="447"/>
      <c r="AA12" s="447"/>
      <c r="AB12" s="447"/>
      <c r="AC12" s="447"/>
      <c r="AD12" s="447"/>
      <c r="AE12" s="447"/>
      <c r="AF12" s="447"/>
    </row>
    <row r="13" spans="1:32" s="430" customFormat="1" ht="6" customHeight="1">
      <c r="A13" s="437"/>
      <c r="B13" s="429"/>
      <c r="C13" s="429"/>
      <c r="D13" s="429"/>
      <c r="E13" s="464"/>
      <c r="F13" s="465"/>
      <c r="G13" s="440"/>
      <c r="H13" s="429"/>
      <c r="I13" s="429"/>
      <c r="J13" s="437"/>
      <c r="K13" s="437"/>
      <c r="L13" s="437"/>
      <c r="M13" s="437"/>
      <c r="N13" s="437"/>
      <c r="O13" s="437"/>
      <c r="P13" s="437"/>
      <c r="Q13" s="437"/>
      <c r="R13" s="437"/>
      <c r="S13" s="437"/>
      <c r="T13" s="437"/>
      <c r="U13" s="437"/>
      <c r="V13" s="437"/>
      <c r="W13" s="437"/>
      <c r="X13" s="437"/>
      <c r="Y13" s="437"/>
      <c r="Z13" s="437"/>
      <c r="AA13" s="437"/>
      <c r="AB13" s="437"/>
      <c r="AC13" s="437"/>
      <c r="AD13" s="437"/>
      <c r="AE13" s="437"/>
      <c r="AF13" s="437"/>
    </row>
    <row r="14" spans="1:32" s="430" customFormat="1" ht="12.75" customHeight="1">
      <c r="A14" s="466"/>
      <c r="B14" s="466"/>
      <c r="C14" s="466"/>
      <c r="D14" s="466"/>
      <c r="E14" s="567"/>
      <c r="F14" s="567"/>
      <c r="G14" s="567"/>
      <c r="H14" s="567"/>
      <c r="I14" s="567"/>
      <c r="J14" s="567"/>
      <c r="K14" s="567"/>
      <c r="L14" s="567"/>
      <c r="M14" s="567"/>
      <c r="N14" s="567"/>
      <c r="O14" s="567"/>
      <c r="P14" s="567"/>
      <c r="Q14" s="567"/>
      <c r="R14" s="567"/>
      <c r="S14" s="567"/>
      <c r="T14" s="567"/>
      <c r="U14" s="567"/>
      <c r="V14" s="567"/>
      <c r="W14" s="567"/>
      <c r="X14" s="567"/>
      <c r="Y14" s="567"/>
      <c r="Z14" s="567"/>
      <c r="AA14" s="567"/>
      <c r="AB14" s="567"/>
      <c r="AC14" s="567"/>
      <c r="AD14" s="567"/>
      <c r="AE14" s="567"/>
      <c r="AF14" s="567"/>
    </row>
    <row r="15" spans="1:32" s="431" customFormat="1" ht="6" customHeight="1">
      <c r="A15" s="441"/>
      <c r="B15" s="433"/>
      <c r="C15" s="433"/>
      <c r="D15" s="433"/>
      <c r="E15" s="433"/>
      <c r="F15" s="433"/>
      <c r="G15" s="433"/>
      <c r="H15" s="433"/>
      <c r="I15" s="433"/>
      <c r="J15" s="441"/>
      <c r="K15" s="441"/>
      <c r="L15" s="441"/>
      <c r="M15" s="441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42"/>
      <c r="AB15" s="442"/>
      <c r="AC15" s="442"/>
      <c r="AD15" s="442"/>
      <c r="AE15" s="442"/>
      <c r="AF15" s="442"/>
    </row>
    <row r="16" spans="1:32" s="431" customFormat="1" ht="12.75" customHeight="1">
      <c r="A16" s="443"/>
      <c r="B16" s="434"/>
      <c r="C16" s="434"/>
      <c r="D16" s="434"/>
      <c r="E16" s="434"/>
      <c r="F16" s="434"/>
      <c r="G16" s="434"/>
      <c r="H16" s="444"/>
      <c r="I16" s="455"/>
      <c r="J16" s="441"/>
      <c r="K16" s="441"/>
      <c r="L16" s="441"/>
      <c r="M16" s="441"/>
      <c r="N16" s="442"/>
      <c r="O16" s="442"/>
      <c r="P16" s="442"/>
      <c r="Q16" s="442"/>
      <c r="R16" s="442"/>
      <c r="S16" s="442"/>
      <c r="T16" s="442"/>
      <c r="U16" s="442"/>
      <c r="V16" s="442"/>
      <c r="W16" s="442"/>
      <c r="X16" s="442"/>
      <c r="Y16" s="442"/>
      <c r="Z16" s="442"/>
      <c r="AA16" s="442"/>
      <c r="AB16" s="442"/>
      <c r="AC16" s="442"/>
      <c r="AD16" s="442"/>
      <c r="AE16" s="442"/>
      <c r="AF16" s="442"/>
    </row>
    <row r="17" spans="1:32" s="432" customFormat="1" ht="12.75" customHeight="1">
      <c r="A17" s="445"/>
      <c r="B17" s="435"/>
      <c r="C17" s="435"/>
      <c r="D17" s="435"/>
      <c r="E17" s="435"/>
      <c r="F17" s="435"/>
      <c r="G17" s="435"/>
      <c r="H17" s="435"/>
      <c r="I17" s="456"/>
      <c r="J17" s="445"/>
      <c r="K17" s="445"/>
      <c r="L17" s="445"/>
      <c r="M17" s="445"/>
      <c r="N17" s="446"/>
      <c r="O17" s="446"/>
      <c r="P17" s="446"/>
      <c r="Q17" s="446"/>
      <c r="R17" s="446"/>
      <c r="S17" s="446"/>
      <c r="T17" s="446"/>
      <c r="U17" s="446"/>
      <c r="V17" s="446"/>
      <c r="W17" s="446"/>
      <c r="X17" s="446"/>
      <c r="Y17" s="446"/>
      <c r="Z17" s="446"/>
      <c r="AA17" s="446"/>
      <c r="AB17" s="446"/>
      <c r="AC17" s="446"/>
      <c r="AD17" s="446"/>
      <c r="AE17" s="446"/>
      <c r="AF17" s="446"/>
    </row>
    <row r="18" spans="1:32" s="382" customFormat="1" ht="12.75" customHeight="1">
      <c r="A18" s="380"/>
      <c r="B18" s="566"/>
      <c r="C18" s="566"/>
      <c r="D18" s="566"/>
      <c r="E18" s="566"/>
      <c r="F18" s="566"/>
      <c r="G18" s="566"/>
      <c r="H18" s="566"/>
      <c r="I18" s="452"/>
      <c r="J18" s="453"/>
      <c r="K18" s="453"/>
      <c r="L18" s="453"/>
      <c r="M18" s="453"/>
      <c r="N18" s="381"/>
      <c r="O18" s="381"/>
      <c r="P18" s="381"/>
      <c r="Q18" s="381"/>
      <c r="R18" s="381"/>
      <c r="S18" s="381"/>
      <c r="T18" s="381"/>
      <c r="U18" s="381"/>
      <c r="V18" s="381"/>
      <c r="W18" s="381"/>
      <c r="X18" s="381"/>
      <c r="Y18" s="381"/>
      <c r="Z18" s="381"/>
    </row>
    <row r="19" spans="1:32" s="382" customFormat="1" ht="12.75" customHeight="1">
      <c r="A19" s="380"/>
      <c r="B19" s="566"/>
      <c r="C19" s="566"/>
      <c r="D19" s="566"/>
      <c r="E19" s="566"/>
      <c r="F19" s="566"/>
      <c r="G19" s="566"/>
      <c r="H19" s="566"/>
      <c r="I19" s="452"/>
      <c r="J19" s="453"/>
      <c r="K19" s="453"/>
      <c r="L19" s="453"/>
      <c r="M19" s="453"/>
      <c r="N19" s="381"/>
      <c r="O19" s="381"/>
      <c r="P19" s="381"/>
      <c r="Q19" s="381"/>
      <c r="R19" s="381"/>
      <c r="S19" s="381"/>
      <c r="T19" s="381"/>
      <c r="U19" s="381"/>
      <c r="V19" s="381"/>
      <c r="W19" s="381"/>
      <c r="X19" s="381"/>
      <c r="Y19" s="381"/>
      <c r="Z19" s="381"/>
    </row>
    <row r="20" spans="1:32" s="382" customFormat="1" ht="12.75" customHeight="1">
      <c r="A20" s="380"/>
      <c r="B20" s="566"/>
      <c r="C20" s="566"/>
      <c r="D20" s="566"/>
      <c r="E20" s="566"/>
      <c r="F20" s="566"/>
      <c r="G20" s="566"/>
      <c r="H20" s="566"/>
      <c r="I20" s="452"/>
      <c r="J20" s="453"/>
      <c r="K20" s="453"/>
      <c r="L20" s="453"/>
      <c r="M20" s="453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</row>
    <row r="21" spans="1:32" s="382" customFormat="1" ht="12.75" customHeight="1">
      <c r="A21" s="380"/>
      <c r="B21" s="566"/>
      <c r="C21" s="566"/>
      <c r="D21" s="566"/>
      <c r="E21" s="566"/>
      <c r="F21" s="566"/>
      <c r="G21" s="566"/>
      <c r="H21" s="566"/>
      <c r="I21" s="452"/>
      <c r="J21" s="453"/>
      <c r="K21" s="453"/>
      <c r="L21" s="453"/>
      <c r="M21" s="453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</row>
    <row r="22" spans="1:32" s="382" customFormat="1" ht="12.75" customHeight="1">
      <c r="A22" s="380"/>
      <c r="B22" s="566"/>
      <c r="C22" s="566"/>
      <c r="D22" s="566"/>
      <c r="E22" s="566"/>
      <c r="F22" s="566"/>
      <c r="G22" s="566"/>
      <c r="H22" s="566"/>
      <c r="I22" s="452"/>
      <c r="J22" s="453"/>
      <c r="K22" s="453"/>
      <c r="L22" s="453"/>
      <c r="M22" s="453"/>
      <c r="N22" s="381"/>
      <c r="O22" s="381"/>
      <c r="P22" s="381"/>
      <c r="Q22" s="381"/>
      <c r="R22" s="381"/>
      <c r="S22" s="381"/>
      <c r="T22" s="381"/>
      <c r="U22" s="381"/>
      <c r="V22" s="381"/>
      <c r="W22" s="381"/>
      <c r="X22" s="381"/>
      <c r="Y22" s="381"/>
      <c r="Z22" s="381"/>
    </row>
    <row r="23" spans="1:32" s="382" customFormat="1" ht="12.75" customHeight="1">
      <c r="A23" s="380"/>
      <c r="B23" s="566"/>
      <c r="C23" s="566"/>
      <c r="D23" s="566"/>
      <c r="E23" s="566"/>
      <c r="F23" s="566"/>
      <c r="G23" s="566"/>
      <c r="H23" s="566"/>
      <c r="I23" s="452"/>
      <c r="J23" s="453"/>
      <c r="K23" s="453"/>
      <c r="L23" s="453"/>
      <c r="M23" s="453"/>
      <c r="N23" s="381"/>
      <c r="O23" s="381"/>
      <c r="P23" s="381"/>
      <c r="Q23" s="381"/>
      <c r="R23" s="381"/>
      <c r="S23" s="381"/>
      <c r="T23" s="381"/>
      <c r="U23" s="381"/>
      <c r="V23" s="381"/>
      <c r="W23" s="381"/>
      <c r="X23" s="381"/>
      <c r="Y23" s="381"/>
      <c r="Z23" s="381"/>
    </row>
    <row r="24" spans="1:32" s="382" customFormat="1" ht="12.75" customHeight="1">
      <c r="A24" s="380"/>
      <c r="B24" s="566"/>
      <c r="C24" s="566"/>
      <c r="D24" s="566"/>
      <c r="E24" s="566"/>
      <c r="F24" s="566"/>
      <c r="G24" s="566"/>
      <c r="H24" s="566"/>
      <c r="I24" s="452"/>
      <c r="J24" s="453"/>
      <c r="K24" s="453"/>
      <c r="L24" s="453"/>
      <c r="M24" s="453"/>
      <c r="N24" s="381"/>
      <c r="O24" s="381"/>
      <c r="P24" s="381"/>
      <c r="Q24" s="381"/>
      <c r="R24" s="381"/>
      <c r="S24" s="381"/>
      <c r="T24" s="381"/>
      <c r="U24" s="381"/>
      <c r="V24" s="381"/>
      <c r="W24" s="381"/>
      <c r="X24" s="381"/>
      <c r="Y24" s="381"/>
      <c r="Z24" s="381"/>
    </row>
    <row r="25" spans="1:32" s="382" customFormat="1" ht="12.75" customHeight="1">
      <c r="A25" s="380"/>
      <c r="B25" s="383"/>
      <c r="C25" s="383"/>
      <c r="D25" s="383"/>
      <c r="E25" s="383"/>
      <c r="F25" s="383"/>
      <c r="G25" s="383"/>
      <c r="H25" s="383"/>
      <c r="I25" s="452"/>
      <c r="J25" s="453"/>
      <c r="K25" s="453"/>
      <c r="L25" s="453"/>
      <c r="M25" s="453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</row>
    <row r="26" spans="1:32" s="454" customFormat="1" ht="12.75" customHeight="1">
      <c r="A26" s="380"/>
      <c r="B26" s="383"/>
      <c r="C26" s="383"/>
      <c r="D26" s="383"/>
      <c r="E26" s="383"/>
      <c r="F26" s="383"/>
      <c r="G26" s="383"/>
      <c r="H26" s="383"/>
      <c r="I26" s="452"/>
      <c r="J26" s="380"/>
      <c r="K26" s="380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  <c r="X26" s="380"/>
      <c r="Y26" s="380"/>
      <c r="Z26" s="380"/>
      <c r="AA26" s="380"/>
      <c r="AB26" s="380"/>
      <c r="AC26" s="380"/>
      <c r="AD26" s="380"/>
      <c r="AE26" s="380"/>
    </row>
    <row r="27" spans="1:32" s="454" customFormat="1" ht="12.75" customHeight="1">
      <c r="A27" s="380"/>
      <c r="B27" s="383"/>
      <c r="C27" s="383"/>
      <c r="D27" s="383"/>
      <c r="E27" s="383"/>
      <c r="F27" s="383"/>
      <c r="G27" s="383"/>
      <c r="H27" s="383"/>
      <c r="I27" s="452"/>
      <c r="J27" s="380"/>
      <c r="K27" s="380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  <c r="Z27" s="380"/>
      <c r="AA27" s="380"/>
      <c r="AB27" s="380"/>
      <c r="AC27" s="380"/>
      <c r="AD27" s="380"/>
      <c r="AE27" s="380"/>
    </row>
    <row r="28" spans="1:32" s="454" customFormat="1" ht="12.75" customHeight="1">
      <c r="A28" s="380"/>
      <c r="B28" s="383"/>
      <c r="C28" s="383"/>
      <c r="D28" s="383"/>
      <c r="E28" s="383"/>
      <c r="F28" s="383"/>
      <c r="G28" s="383"/>
      <c r="H28" s="383"/>
      <c r="I28" s="452"/>
      <c r="J28" s="380"/>
      <c r="K28" s="380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  <c r="AA28" s="380"/>
      <c r="AB28" s="380"/>
      <c r="AC28" s="380"/>
      <c r="AD28" s="380"/>
      <c r="AE28" s="380"/>
    </row>
    <row r="29" spans="1:32" s="454" customFormat="1" ht="12.75" customHeight="1">
      <c r="A29" s="380"/>
      <c r="B29" s="383"/>
      <c r="C29" s="383"/>
      <c r="D29" s="383"/>
      <c r="E29" s="383"/>
      <c r="F29" s="383"/>
      <c r="G29" s="383"/>
      <c r="H29" s="383"/>
      <c r="I29" s="452"/>
      <c r="J29" s="380"/>
      <c r="K29" s="380"/>
      <c r="L29" s="380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  <c r="X29" s="380"/>
      <c r="Y29" s="380"/>
      <c r="Z29" s="380"/>
      <c r="AA29" s="380"/>
      <c r="AB29" s="380"/>
      <c r="AC29" s="380"/>
      <c r="AD29" s="380"/>
      <c r="AE29" s="380"/>
    </row>
    <row r="30" spans="1:32" s="454" customFormat="1" ht="12.75" customHeight="1">
      <c r="A30" s="380"/>
      <c r="B30" s="383"/>
      <c r="C30" s="383"/>
      <c r="D30" s="383"/>
      <c r="E30" s="383"/>
      <c r="F30" s="383"/>
      <c r="G30" s="383"/>
      <c r="H30" s="383"/>
      <c r="I30" s="452"/>
      <c r="J30" s="380"/>
      <c r="K30" s="380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  <c r="AA30" s="380"/>
      <c r="AB30" s="380"/>
      <c r="AC30" s="380"/>
      <c r="AD30" s="380"/>
      <c r="AE30" s="380"/>
    </row>
    <row r="31" spans="1:32" s="454" customFormat="1" ht="12.75" customHeight="1">
      <c r="A31" s="380"/>
      <c r="B31" s="383"/>
      <c r="C31" s="383"/>
      <c r="D31" s="383"/>
      <c r="E31" s="383"/>
      <c r="F31" s="383"/>
      <c r="G31" s="383"/>
      <c r="H31" s="383"/>
      <c r="I31" s="452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380"/>
      <c r="AB31" s="380"/>
      <c r="AC31" s="380"/>
      <c r="AD31" s="380"/>
      <c r="AE31" s="380"/>
    </row>
    <row r="32" spans="1:32" s="454" customFormat="1" ht="12.75" customHeight="1">
      <c r="A32" s="380"/>
      <c r="B32" s="383"/>
      <c r="C32" s="383"/>
      <c r="D32" s="383"/>
      <c r="E32" s="383"/>
      <c r="F32" s="383"/>
      <c r="G32" s="383"/>
      <c r="H32" s="383"/>
      <c r="I32" s="452"/>
      <c r="J32" s="380"/>
      <c r="K32" s="380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380"/>
      <c r="AD32" s="380"/>
      <c r="AE32" s="380"/>
    </row>
    <row r="33" spans="1:32" s="454" customFormat="1" ht="12.75" customHeight="1">
      <c r="A33" s="380"/>
      <c r="B33" s="383"/>
      <c r="C33" s="383"/>
      <c r="D33" s="383"/>
      <c r="E33" s="383"/>
      <c r="F33" s="383"/>
      <c r="G33" s="383"/>
      <c r="H33" s="383"/>
      <c r="I33" s="452"/>
      <c r="J33" s="380"/>
      <c r="K33" s="380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  <c r="AA33" s="380"/>
      <c r="AB33" s="380"/>
      <c r="AC33" s="380"/>
      <c r="AD33" s="380"/>
      <c r="AE33" s="380"/>
    </row>
    <row r="34" spans="1:32" s="454" customFormat="1" ht="12.75" customHeight="1">
      <c r="A34" s="380"/>
      <c r="B34" s="383"/>
      <c r="C34" s="383"/>
      <c r="D34" s="383"/>
      <c r="E34" s="383"/>
      <c r="F34" s="383"/>
      <c r="G34" s="383"/>
      <c r="H34" s="383"/>
      <c r="I34" s="452"/>
      <c r="J34" s="380"/>
      <c r="K34" s="380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0"/>
      <c r="Y34" s="380"/>
      <c r="Z34" s="380"/>
      <c r="AA34" s="380"/>
      <c r="AB34" s="380"/>
      <c r="AC34" s="380"/>
      <c r="AD34" s="380"/>
      <c r="AE34" s="380"/>
    </row>
    <row r="35" spans="1:32" s="454" customFormat="1" ht="12.75" customHeight="1">
      <c r="A35" s="380"/>
      <c r="B35" s="383"/>
      <c r="C35" s="383"/>
      <c r="D35" s="383"/>
      <c r="E35" s="383"/>
      <c r="F35" s="383"/>
      <c r="G35" s="383"/>
      <c r="H35" s="383"/>
      <c r="I35" s="452"/>
      <c r="J35" s="380"/>
      <c r="K35" s="380"/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  <c r="AA35" s="380"/>
      <c r="AB35" s="380"/>
      <c r="AC35" s="380"/>
      <c r="AD35" s="380"/>
      <c r="AE35" s="380"/>
    </row>
    <row r="36" spans="1:32" s="454" customFormat="1" ht="12.75" customHeight="1">
      <c r="A36" s="380"/>
      <c r="B36" s="383"/>
      <c r="C36" s="383"/>
      <c r="D36" s="383"/>
      <c r="E36" s="383"/>
      <c r="F36" s="383"/>
      <c r="G36" s="383"/>
      <c r="H36" s="383"/>
      <c r="I36" s="452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</row>
    <row r="37" spans="1:32" s="454" customFormat="1" ht="12.75" customHeight="1">
      <c r="A37" s="380"/>
      <c r="B37" s="383"/>
      <c r="C37" s="383"/>
      <c r="D37" s="383"/>
      <c r="E37" s="383"/>
      <c r="F37" s="383"/>
      <c r="G37" s="383"/>
      <c r="H37" s="383"/>
      <c r="I37" s="452"/>
      <c r="J37" s="380"/>
      <c r="K37" s="380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  <c r="AA37" s="380"/>
      <c r="AB37" s="380"/>
      <c r="AC37" s="380"/>
      <c r="AD37" s="380"/>
      <c r="AE37" s="380"/>
    </row>
    <row r="38" spans="1:32" s="454" customFormat="1" ht="12.75" customHeight="1">
      <c r="A38" s="380"/>
      <c r="B38" s="383"/>
      <c r="C38" s="383"/>
      <c r="D38" s="383"/>
      <c r="E38" s="383"/>
      <c r="F38" s="383"/>
      <c r="G38" s="383"/>
      <c r="H38" s="383"/>
      <c r="I38" s="452"/>
      <c r="J38" s="380"/>
      <c r="K38" s="380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  <c r="Z38" s="380"/>
      <c r="AA38" s="380"/>
      <c r="AB38" s="380"/>
      <c r="AC38" s="380"/>
      <c r="AD38" s="380"/>
      <c r="AE38" s="380"/>
    </row>
    <row r="39" spans="1:32" s="454" customFormat="1" ht="12.75" customHeight="1">
      <c r="A39" s="380"/>
      <c r="B39" s="383"/>
      <c r="C39" s="383"/>
      <c r="D39" s="383"/>
      <c r="E39" s="383"/>
      <c r="F39" s="383"/>
      <c r="G39" s="383"/>
      <c r="H39" s="383"/>
      <c r="I39" s="452"/>
      <c r="J39" s="380"/>
      <c r="K39" s="380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  <c r="AA39" s="380"/>
      <c r="AB39" s="380"/>
      <c r="AC39" s="380"/>
      <c r="AD39" s="380"/>
      <c r="AE39" s="380"/>
    </row>
    <row r="40" spans="1:32" s="454" customFormat="1" ht="12.75" customHeight="1">
      <c r="A40" s="380"/>
      <c r="B40" s="383"/>
      <c r="C40" s="383"/>
      <c r="D40" s="383"/>
      <c r="E40" s="383"/>
      <c r="F40" s="383"/>
      <c r="G40" s="383"/>
      <c r="H40" s="383"/>
      <c r="I40" s="452"/>
      <c r="J40" s="380"/>
      <c r="K40" s="380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  <c r="AA40" s="380"/>
      <c r="AB40" s="380"/>
      <c r="AC40" s="380"/>
      <c r="AD40" s="380"/>
      <c r="AE40" s="380"/>
    </row>
    <row r="41" spans="1:32" s="454" customFormat="1" ht="12.75" customHeight="1">
      <c r="A41" s="380"/>
      <c r="B41" s="383"/>
      <c r="C41" s="383"/>
      <c r="D41" s="383"/>
      <c r="E41" s="383"/>
      <c r="F41" s="383"/>
      <c r="G41" s="383"/>
      <c r="H41" s="383"/>
      <c r="I41" s="452"/>
      <c r="J41" s="380"/>
      <c r="K41" s="380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  <c r="AA41" s="380"/>
      <c r="AB41" s="380"/>
      <c r="AC41" s="380"/>
      <c r="AD41" s="380"/>
      <c r="AE41" s="380"/>
    </row>
    <row r="42" spans="1:32" s="454" customFormat="1" ht="12.75" customHeight="1">
      <c r="A42" s="380"/>
      <c r="B42" s="383"/>
      <c r="C42" s="383"/>
      <c r="D42" s="383"/>
      <c r="E42" s="383"/>
      <c r="F42" s="383"/>
      <c r="G42" s="383"/>
      <c r="H42" s="383"/>
      <c r="I42" s="452"/>
      <c r="J42" s="380"/>
      <c r="K42" s="380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  <c r="Z42" s="380"/>
      <c r="AA42" s="380"/>
      <c r="AB42" s="380"/>
      <c r="AC42" s="380"/>
      <c r="AD42" s="380"/>
      <c r="AE42" s="380"/>
    </row>
    <row r="43" spans="1:32" s="454" customFormat="1" ht="12.75" customHeight="1">
      <c r="A43" s="380"/>
      <c r="B43" s="383"/>
      <c r="C43" s="383"/>
      <c r="D43" s="383"/>
      <c r="E43" s="383"/>
      <c r="F43" s="383"/>
      <c r="G43" s="383"/>
      <c r="H43" s="383"/>
      <c r="I43" s="452"/>
      <c r="J43" s="380"/>
      <c r="K43" s="380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  <c r="Z43" s="380"/>
      <c r="AA43" s="380"/>
      <c r="AB43" s="380"/>
      <c r="AC43" s="380"/>
      <c r="AD43" s="380"/>
      <c r="AE43" s="380"/>
    </row>
    <row r="44" spans="1:32" s="454" customFormat="1" ht="18" customHeight="1">
      <c r="A44" s="380"/>
      <c r="B44" s="383"/>
      <c r="C44" s="383"/>
      <c r="D44" s="383"/>
      <c r="E44" s="383"/>
      <c r="F44" s="383"/>
      <c r="G44" s="383"/>
      <c r="H44" s="383"/>
      <c r="I44" s="452"/>
      <c r="J44" s="380"/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  <c r="AA44" s="380"/>
      <c r="AB44" s="380"/>
      <c r="AC44" s="380"/>
      <c r="AD44" s="380"/>
      <c r="AE44" s="380"/>
    </row>
    <row r="45" spans="1:32" s="454" customFormat="1" ht="8.25" customHeight="1">
      <c r="A45" s="569"/>
      <c r="B45" s="569"/>
      <c r="C45" s="569"/>
      <c r="D45" s="569"/>
      <c r="E45" s="569"/>
      <c r="F45" s="569"/>
      <c r="G45" s="569"/>
      <c r="H45" s="569"/>
      <c r="I45" s="569"/>
      <c r="J45" s="569"/>
      <c r="K45" s="569"/>
      <c r="L45" s="569"/>
      <c r="M45" s="569"/>
      <c r="N45" s="569"/>
      <c r="O45" s="569"/>
      <c r="P45" s="569"/>
      <c r="Q45" s="569"/>
      <c r="R45" s="569"/>
      <c r="S45" s="569"/>
      <c r="T45" s="569"/>
      <c r="U45" s="569"/>
      <c r="V45" s="569"/>
      <c r="W45" s="569"/>
      <c r="X45" s="569"/>
      <c r="Y45" s="569"/>
      <c r="Z45" s="569"/>
      <c r="AA45" s="569"/>
      <c r="AB45" s="569"/>
      <c r="AC45" s="569"/>
      <c r="AD45" s="569"/>
      <c r="AE45" s="569"/>
      <c r="AF45" s="569"/>
    </row>
    <row r="46" spans="1:32" s="379" customFormat="1"/>
    <row r="47" spans="1:32" s="379" customFormat="1"/>
    <row r="48" spans="1:32" s="379" customFormat="1"/>
    <row r="49" s="379" customFormat="1"/>
    <row r="50" s="379" customFormat="1"/>
    <row r="51" s="379" customFormat="1"/>
    <row r="52" s="379" customFormat="1"/>
    <row r="53" s="379" customFormat="1"/>
    <row r="54" s="379" customFormat="1"/>
    <row r="55" s="379" customFormat="1"/>
    <row r="56" s="379" customFormat="1"/>
    <row r="57" s="379" customFormat="1"/>
    <row r="58" s="379" customFormat="1"/>
    <row r="59" s="379" customFormat="1"/>
    <row r="60" s="379" customFormat="1"/>
    <row r="61" s="379" customFormat="1"/>
    <row r="62" s="379" customFormat="1"/>
    <row r="63" s="379" customFormat="1"/>
    <row r="64" s="379" customFormat="1"/>
    <row r="65" s="379" customFormat="1"/>
    <row r="66" s="379" customFormat="1"/>
    <row r="67" s="379" customFormat="1"/>
  </sheetData>
  <customSheetViews>
    <customSheetView guid="{0C99ABE2-728B-4C30-A993-CD651C64FAAE}" showPageBreaks="1" showGridLines="0" printArea="1">
      <selection activeCell="E6" sqref="E6:AF6"/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2BA56ECA-30F6-456D-AB26-04DD1698A098}" showPageBreaks="1" showGridLines="0" printArea="1">
      <selection activeCell="E6" sqref="E6:AF6"/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mergeCells count="10">
    <mergeCell ref="B23:H23"/>
    <mergeCell ref="B24:H24"/>
    <mergeCell ref="E14:AF14"/>
    <mergeCell ref="Y11:AF11"/>
    <mergeCell ref="A45:AF45"/>
    <mergeCell ref="B18:H18"/>
    <mergeCell ref="B19:H19"/>
    <mergeCell ref="B20:H20"/>
    <mergeCell ref="B21:H21"/>
    <mergeCell ref="B22:H22"/>
  </mergeCells>
  <conditionalFormatting sqref="E14:AF14">
    <cfRule type="notContainsBlanks" dxfId="0" priority="2">
      <formula>LEN(TRIM(E14))&gt;0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215967"/>
  </sheetPr>
  <dimension ref="A1:Q50"/>
  <sheetViews>
    <sheetView workbookViewId="0">
      <selection activeCell="J8" sqref="J8"/>
    </sheetView>
  </sheetViews>
  <sheetFormatPr defaultColWidth="8.88671875" defaultRowHeight="14.4"/>
  <cols>
    <col min="1" max="1" width="5.88671875" style="14" customWidth="1"/>
    <col min="2" max="3" width="8.88671875" style="14"/>
    <col min="4" max="6" width="8.88671875" style="14" customWidth="1"/>
    <col min="7" max="16384" width="8.88671875" style="14"/>
  </cols>
  <sheetData>
    <row r="1" spans="1:17">
      <c r="A1" s="12" t="s">
        <v>37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</row>
    <row r="2" spans="1:17">
      <c r="A2" s="15"/>
    </row>
    <row r="3" spans="1:17">
      <c r="A3" s="15" t="s">
        <v>63</v>
      </c>
    </row>
    <row r="4" spans="1:17" ht="15" thickBot="1">
      <c r="A4" s="150">
        <v>25</v>
      </c>
      <c r="B4" s="16" t="s">
        <v>64</v>
      </c>
      <c r="C4" s="16" t="s">
        <v>65</v>
      </c>
      <c r="D4" s="16" t="s">
        <v>66</v>
      </c>
      <c r="E4" s="16" t="s">
        <v>67</v>
      </c>
      <c r="F4" s="16" t="s">
        <v>50</v>
      </c>
      <c r="G4" s="16" t="s">
        <v>69</v>
      </c>
      <c r="H4" s="16" t="s">
        <v>70</v>
      </c>
      <c r="I4" s="16" t="s">
        <v>71</v>
      </c>
      <c r="J4" s="16" t="s">
        <v>68</v>
      </c>
      <c r="K4" s="16" t="s">
        <v>72</v>
      </c>
      <c r="L4" s="16" t="s">
        <v>73</v>
      </c>
      <c r="M4" s="16" t="s">
        <v>74</v>
      </c>
      <c r="N4" s="16" t="s">
        <v>75</v>
      </c>
      <c r="O4" s="16" t="s">
        <v>76</v>
      </c>
      <c r="P4" s="16" t="s">
        <v>77</v>
      </c>
      <c r="Q4" s="16" t="s">
        <v>78</v>
      </c>
    </row>
    <row r="5" spans="1:17">
      <c r="A5" s="16">
        <v>1</v>
      </c>
      <c r="B5" s="166" t="e">
        <f ca="1">IF(Задача_Вентилятор,OFFSET(Оборудование_Вентиляторы,Расчет_ВентиляторРезультат+1,A4),0)</f>
        <v>#REF!</v>
      </c>
      <c r="C5" s="167" t="e">
        <f ca="1">IF(Задача_Вентилятор,OFFSET(Оборудование_Вентиляторы,Расчет_ВентиляторРезультат+1,A4+7),0)</f>
        <v>#REF!</v>
      </c>
      <c r="D5" s="168" t="e">
        <f ca="1">IF(Задача_Вентилятор,OFFSET(Оборудование_Вентиляторы,Расчет_ВентиляторРезультат+1,A4+14),0)</f>
        <v>#REF!</v>
      </c>
      <c r="E5" s="169" t="e">
        <f t="shared" ref="E5:E10" ca="1" si="0">IF(Задача_Заслонка,OFFSET(Оборудование_Заслонки,Расчет_ЗаслонкаРезультат+1,A$4+7-A5),0)</f>
        <v>#N/A</v>
      </c>
      <c r="F5" s="170"/>
      <c r="G5" s="170"/>
      <c r="H5" s="170"/>
      <c r="I5" s="170"/>
      <c r="J5" s="168"/>
      <c r="K5" s="171" t="e">
        <f t="shared" ref="K5:K11" ca="1" si="1">IF(Задача_Вентилятор,D5-SUM(E5:J5),0)</f>
        <v>#REF!</v>
      </c>
      <c r="L5" s="172" t="e">
        <f ca="1">B5</f>
        <v>#REF!</v>
      </c>
      <c r="M5" s="173" t="e">
        <f ca="1">$K$5+L5*($K$6+L5*($K$7+L5*($K$8+L5*($K$9+L5*($K$10+L5*($K$11))))))</f>
        <v>#REF!</v>
      </c>
      <c r="N5" s="174" t="e">
        <f t="shared" ref="N5:N10" ca="1" si="2">IF(L5&gt;B$32,B$32,L5)</f>
        <v>#REF!</v>
      </c>
      <c r="O5" s="173" t="e">
        <f ca="1">$K$5+N5*($K$6+N5*($K$7+N5*($K$8+N5*($K$9+N5*($K$10+N5*($K$11))))))</f>
        <v>#REF!</v>
      </c>
      <c r="P5" s="175"/>
      <c r="Q5" s="176" t="e">
        <f ca="1">K5-P5</f>
        <v>#REF!</v>
      </c>
    </row>
    <row r="6" spans="1:17">
      <c r="A6" s="16">
        <v>2</v>
      </c>
      <c r="B6" s="177" t="e">
        <f ca="1">IF(Задача_Вентилятор,OFFSET(Оборудование_Вентиляторы,Расчет_ВентиляторРезультат+1,A4+1),0)</f>
        <v>#REF!</v>
      </c>
      <c r="C6" s="178" t="e">
        <f ca="1">IF(Задача_Вентилятор,OFFSET(Оборудование_Вентиляторы,Расчет_ВентиляторРезультат+1,A4+8),0)</f>
        <v>#REF!</v>
      </c>
      <c r="D6" s="179" t="e">
        <f ca="1">IF(Задача_Вентилятор,OFFSET(Оборудование_Вентиляторы,Расчет_ВентиляторРезультат+1,A4+15),0)</f>
        <v>#REF!</v>
      </c>
      <c r="E6" s="180" t="e">
        <f t="shared" ca="1" si="0"/>
        <v>#N/A</v>
      </c>
      <c r="F6" s="528" t="e">
        <f ca="1">IF(Задача_Фильтр,OFFSET(Оборудование_Фильтры,Расчет_ФильтрРезультат+1,A$4+4-A6),0)</f>
        <v>#N/A</v>
      </c>
      <c r="G6" s="181">
        <f ca="1">IF(Задача_Рекуператор,OFFSET(Оборудование_Рекуператоры,Расчет_РекуператорРезультат+1,A$4+4-A6),0)</f>
        <v>0</v>
      </c>
      <c r="H6" s="181" t="e">
        <f ca="1">IF(Задача_Нагреватель,OFFSET(Оборудование_Нагреватели,Расчет_НагревательРезультат+1,A$4+4-A6),0)</f>
        <v>#N/A</v>
      </c>
      <c r="I6" s="181"/>
      <c r="J6" s="181" t="e">
        <f ca="1">IF(Задача_Шумоглушитель,OFFSET(Оборудование_Шумоглушители,Расчет_ШумоглушительРезультат+1,A$4+4-A6),0)</f>
        <v>#N/A</v>
      </c>
      <c r="K6" s="182" t="e">
        <f t="shared" ca="1" si="1"/>
        <v>#REF!</v>
      </c>
      <c r="L6" s="183" t="e">
        <f t="shared" ref="L6:L11" ca="1" si="3">B6</f>
        <v>#REF!</v>
      </c>
      <c r="M6" s="184" t="e">
        <f t="shared" ref="M6:O11" ca="1" si="4">$K$5+L6*($K$6+L6*($K$7+L6*($K$8+L6*($K$9+L6*($K$10+L6*($K$11))))))</f>
        <v>#REF!</v>
      </c>
      <c r="N6" s="185" t="e">
        <f t="shared" ca="1" si="2"/>
        <v>#REF!</v>
      </c>
      <c r="O6" s="184" t="e">
        <f t="shared" ca="1" si="4"/>
        <v>#REF!</v>
      </c>
      <c r="P6" s="186"/>
      <c r="Q6" s="187" t="e">
        <f t="shared" ref="Q6:Q11" ca="1" si="5">K6-P6</f>
        <v>#REF!</v>
      </c>
    </row>
    <row r="7" spans="1:17">
      <c r="A7" s="16">
        <v>3</v>
      </c>
      <c r="B7" s="177" t="e">
        <f ca="1">IF(Задача_Вентилятор,OFFSET(Оборудование_Вентиляторы,Расчет_ВентиляторРезультат+1,A4+2),0)</f>
        <v>#REF!</v>
      </c>
      <c r="C7" s="178" t="e">
        <f ca="1">IF(Задача_Вентилятор,OFFSET(Оборудование_Вентиляторы,Расчет_ВентиляторРезультат+1,A4+9),0)</f>
        <v>#REF!</v>
      </c>
      <c r="D7" s="179" t="e">
        <f ca="1">IF(Задача_Вентилятор,OFFSET(Оборудование_Вентиляторы,Расчет_ВентиляторРезультат+1,A4+16),0)</f>
        <v>#REF!</v>
      </c>
      <c r="E7" s="180" t="e">
        <f t="shared" ca="1" si="0"/>
        <v>#N/A</v>
      </c>
      <c r="F7" s="181" t="e">
        <f ca="1">IF(Задача_Фильтр,OFFSET(Оборудование_Фильтры,Расчет_ФильтрРезультат+1,A$4+4-A7),0)</f>
        <v>#N/A</v>
      </c>
      <c r="G7" s="181">
        <f ca="1">IF(Задача_Рекуператор,OFFSET(Оборудование_Рекуператоры,Расчет_РекуператорРезультат+1,A$4+4-A7),0)</f>
        <v>0</v>
      </c>
      <c r="H7" s="181" t="e">
        <f ca="1">IF(Задача_Нагреватель,OFFSET(Оборудование_Нагреватели,Расчет_НагревательРезультат+1,A$4+4-A7),0)</f>
        <v>#N/A</v>
      </c>
      <c r="I7" s="181"/>
      <c r="J7" s="181" t="e">
        <f ca="1">IF(Задача_Шумоглушитель,OFFSET(Оборудование_Шумоглушители,Расчет_ШумоглушительРезультат+1,A$4+4-A7),0)</f>
        <v>#N/A</v>
      </c>
      <c r="K7" s="182" t="e">
        <f t="shared" ca="1" si="1"/>
        <v>#REF!</v>
      </c>
      <c r="L7" s="183" t="e">
        <f t="shared" ca="1" si="3"/>
        <v>#REF!</v>
      </c>
      <c r="M7" s="184" t="e">
        <f t="shared" ca="1" si="4"/>
        <v>#REF!</v>
      </c>
      <c r="N7" s="185" t="e">
        <f t="shared" ca="1" si="2"/>
        <v>#REF!</v>
      </c>
      <c r="O7" s="184" t="e">
        <f t="shared" ca="1" si="4"/>
        <v>#REF!</v>
      </c>
      <c r="P7" s="186" t="e">
        <f ca="1">C29/B29/B29</f>
        <v>#DIV/0!</v>
      </c>
      <c r="Q7" s="187" t="e">
        <f t="shared" ca="1" si="5"/>
        <v>#REF!</v>
      </c>
    </row>
    <row r="8" spans="1:17">
      <c r="A8" s="16">
        <v>4</v>
      </c>
      <c r="B8" s="177" t="e">
        <f ca="1">IF(Задача_Вентилятор,OFFSET(Оборудование_Вентиляторы,Расчет_ВентиляторРезультат+1,A4+3),0)</f>
        <v>#REF!</v>
      </c>
      <c r="C8" s="178" t="e">
        <f ca="1">IF(Задача_Вентилятор,OFFSET(Оборудование_Вентиляторы,Расчет_ВентиляторРезультат+1,A4+10),0)</f>
        <v>#REF!</v>
      </c>
      <c r="D8" s="179" t="e">
        <f ca="1">IF(Задача_Вентилятор,OFFSET(Оборудование_Вентиляторы,Расчет_ВентиляторРезультат+1,A4+17),0)</f>
        <v>#REF!</v>
      </c>
      <c r="E8" s="180" t="e">
        <f t="shared" ca="1" si="0"/>
        <v>#N/A</v>
      </c>
      <c r="F8" s="181"/>
      <c r="G8" s="181"/>
      <c r="H8" s="181"/>
      <c r="I8" s="181"/>
      <c r="J8" s="179"/>
      <c r="K8" s="182" t="e">
        <f t="shared" ca="1" si="1"/>
        <v>#REF!</v>
      </c>
      <c r="L8" s="183" t="e">
        <f t="shared" ca="1" si="3"/>
        <v>#REF!</v>
      </c>
      <c r="M8" s="184" t="e">
        <f t="shared" ca="1" si="4"/>
        <v>#REF!</v>
      </c>
      <c r="N8" s="185" t="e">
        <f t="shared" ca="1" si="2"/>
        <v>#REF!</v>
      </c>
      <c r="O8" s="184" t="e">
        <f t="shared" ca="1" si="4"/>
        <v>#REF!</v>
      </c>
      <c r="P8" s="186"/>
      <c r="Q8" s="187" t="e">
        <f t="shared" ca="1" si="5"/>
        <v>#REF!</v>
      </c>
    </row>
    <row r="9" spans="1:17">
      <c r="A9" s="16">
        <v>5</v>
      </c>
      <c r="B9" s="177" t="e">
        <f ca="1">IF(Задача_Вентилятор,OFFSET(Оборудование_Вентиляторы,Расчет_ВентиляторРезультат+1,A4+4),0)</f>
        <v>#REF!</v>
      </c>
      <c r="C9" s="178" t="e">
        <f ca="1">IF(Задача_Вентилятор,OFFSET(Оборудование_Вентиляторы,Расчет_ВентиляторРезультат+1,A4+11),0)</f>
        <v>#REF!</v>
      </c>
      <c r="D9" s="179" t="e">
        <f ca="1">IF(Задача_Вентилятор,OFFSET(Оборудование_Вентиляторы,Расчет_ВентиляторРезультат+1,A4+18),0)</f>
        <v>#REF!</v>
      </c>
      <c r="E9" s="180" t="e">
        <f t="shared" ca="1" si="0"/>
        <v>#N/A</v>
      </c>
      <c r="F9" s="181"/>
      <c r="G9" s="181"/>
      <c r="H9" s="181"/>
      <c r="I9" s="181"/>
      <c r="J9" s="179"/>
      <c r="K9" s="182" t="e">
        <f t="shared" ca="1" si="1"/>
        <v>#REF!</v>
      </c>
      <c r="L9" s="183" t="e">
        <f t="shared" ca="1" si="3"/>
        <v>#REF!</v>
      </c>
      <c r="M9" s="184" t="e">
        <f t="shared" ca="1" si="4"/>
        <v>#REF!</v>
      </c>
      <c r="N9" s="185" t="e">
        <f t="shared" ca="1" si="2"/>
        <v>#REF!</v>
      </c>
      <c r="O9" s="184" t="e">
        <f t="shared" ca="1" si="4"/>
        <v>#REF!</v>
      </c>
      <c r="P9" s="186"/>
      <c r="Q9" s="187" t="e">
        <f t="shared" ca="1" si="5"/>
        <v>#REF!</v>
      </c>
    </row>
    <row r="10" spans="1:17">
      <c r="A10" s="16">
        <v>6</v>
      </c>
      <c r="B10" s="177" t="e">
        <f ca="1">IF(Задача_Вентилятор,OFFSET(Оборудование_Вентиляторы,Расчет_ВентиляторРезультат+1,A4+5),0)</f>
        <v>#REF!</v>
      </c>
      <c r="C10" s="178" t="e">
        <f ca="1">IF(Задача_Вентилятор,OFFSET(Оборудование_Вентиляторы,Расчет_ВентиляторРезультат+1,A4+12),0)</f>
        <v>#REF!</v>
      </c>
      <c r="D10" s="179" t="e">
        <f ca="1">IF(Задача_Вентилятор,OFFSET(Оборудование_Вентиляторы,Расчет_ВентиляторРезультат+1,A4+19),0)</f>
        <v>#REF!</v>
      </c>
      <c r="E10" s="180" t="e">
        <f t="shared" ca="1" si="0"/>
        <v>#N/A</v>
      </c>
      <c r="F10" s="181"/>
      <c r="G10" s="181"/>
      <c r="H10" s="181"/>
      <c r="I10" s="181"/>
      <c r="J10" s="179"/>
      <c r="K10" s="182" t="e">
        <f t="shared" ca="1" si="1"/>
        <v>#REF!</v>
      </c>
      <c r="L10" s="183" t="e">
        <f t="shared" ca="1" si="3"/>
        <v>#REF!</v>
      </c>
      <c r="M10" s="184" t="e">
        <f t="shared" ca="1" si="4"/>
        <v>#REF!</v>
      </c>
      <c r="N10" s="185" t="e">
        <f t="shared" ca="1" si="2"/>
        <v>#REF!</v>
      </c>
      <c r="O10" s="184" t="e">
        <f t="shared" ca="1" si="4"/>
        <v>#REF!</v>
      </c>
      <c r="P10" s="186"/>
      <c r="Q10" s="187" t="e">
        <f t="shared" ca="1" si="5"/>
        <v>#REF!</v>
      </c>
    </row>
    <row r="11" spans="1:17" ht="15" thickBot="1">
      <c r="A11" s="16">
        <v>7</v>
      </c>
      <c r="B11" s="188" t="e">
        <f ca="1">IF(Задача_Вентилятор,OFFSET(Оборудование_Вентиляторы,Расчет_ВентиляторРезультат+1,A4+6),0)</f>
        <v>#REF!</v>
      </c>
      <c r="C11" s="189" t="e">
        <f ca="1">IF(Задача_Вентилятор,OFFSET(Оборудование_Вентиляторы,Расчет_ВентиляторРезультат+1,A4+13),0)</f>
        <v>#REF!</v>
      </c>
      <c r="D11" s="190" t="e">
        <f ca="1">IF(Задача_Вентилятор,OFFSET(Оборудование_Вентиляторы,Расчет_ВентиляторРезультат+1,A4+20),0)</f>
        <v>#REF!</v>
      </c>
      <c r="E11" s="191"/>
      <c r="F11" s="192"/>
      <c r="G11" s="192"/>
      <c r="H11" s="192"/>
      <c r="I11" s="192"/>
      <c r="J11" s="190"/>
      <c r="K11" s="193" t="e">
        <f t="shared" ca="1" si="1"/>
        <v>#REF!</v>
      </c>
      <c r="L11" s="194" t="e">
        <f t="shared" ca="1" si="3"/>
        <v>#REF!</v>
      </c>
      <c r="M11" s="195" t="e">
        <f t="shared" ca="1" si="4"/>
        <v>#REF!</v>
      </c>
      <c r="N11" s="196" t="e">
        <f ca="1">IF(L11&gt;B$32,B$32,L11)</f>
        <v>#REF!</v>
      </c>
      <c r="O11" s="195" t="e">
        <f t="shared" ca="1" si="4"/>
        <v>#REF!</v>
      </c>
      <c r="P11" s="197"/>
      <c r="Q11" s="198" t="e">
        <f t="shared" ca="1" si="5"/>
        <v>#REF!</v>
      </c>
    </row>
    <row r="13" spans="1:17">
      <c r="A13" s="15" t="s">
        <v>79</v>
      </c>
      <c r="E13" s="17"/>
      <c r="F13" s="17"/>
      <c r="G13" s="18"/>
    </row>
    <row r="14" spans="1:17" ht="15" thickBot="1">
      <c r="C14" s="16" t="e">
        <f ca="1">MATCH(0,C15:C24,-1)</f>
        <v>#N/A</v>
      </c>
      <c r="E14" s="16" t="e">
        <f ca="1">MATCH(0,E15:E24,-1)</f>
        <v>#N/A</v>
      </c>
      <c r="G14" s="16" t="e">
        <f ca="1">MATCH(0,G15:G24,-1)</f>
        <v>#N/A</v>
      </c>
      <c r="I14" s="16" t="e">
        <f ca="1">MATCH(0,I15:I24,-1)</f>
        <v>#N/A</v>
      </c>
    </row>
    <row r="15" spans="1:17">
      <c r="A15" s="16">
        <v>1</v>
      </c>
      <c r="B15" s="19" t="e">
        <f ca="1">B5</f>
        <v>#REF!</v>
      </c>
      <c r="C15" s="20" t="e">
        <f t="shared" ref="C15:C24" ca="1" si="6">$K$5+B15*($K$6+B15*($K$7+B15*($K$8+B15*($K$9+B15*($K$10+B15*($K$11))))))</f>
        <v>#REF!</v>
      </c>
      <c r="D15" s="19" t="e">
        <f ca="1">OFFSET(B15,C14-1,0)</f>
        <v>#N/A</v>
      </c>
      <c r="E15" s="20" t="e">
        <f t="shared" ref="E15:E24" ca="1" si="7">$K$5+D15*($K$6+D15*($K$7+D15*($K$8+D15*($K$9+D15*($K$10+D15*($K$11))))))</f>
        <v>#REF!</v>
      </c>
      <c r="F15" s="19" t="e">
        <f ca="1">OFFSET(D15,E14-1,0)</f>
        <v>#N/A</v>
      </c>
      <c r="G15" s="20" t="e">
        <f t="shared" ref="G15:G24" ca="1" si="8">$K$5+F15*($K$6+F15*($K$7+F15*($K$8+F15*($K$9+F15*($K$10+F15*($K$11))))))</f>
        <v>#REF!</v>
      </c>
      <c r="H15" s="19" t="e">
        <f ca="1">OFFSET(F15,G14-1,0)</f>
        <v>#N/A</v>
      </c>
      <c r="I15" s="20" t="e">
        <f t="shared" ref="I15:I24" ca="1" si="9">$K$5+H15*($K$6+H15*($K$7+H15*($K$8+H15*($K$9+H15*($K$10+H15*($K$11))))))</f>
        <v>#REF!</v>
      </c>
    </row>
    <row r="16" spans="1:17">
      <c r="A16" s="16">
        <v>2</v>
      </c>
      <c r="B16" s="21" t="e">
        <f ca="1">B15+(B$24-B$15)/9</f>
        <v>#REF!</v>
      </c>
      <c r="C16" s="22" t="e">
        <f t="shared" ca="1" si="6"/>
        <v>#REF!</v>
      </c>
      <c r="D16" s="21" t="e">
        <f ca="1">D15+(D$24-D$15)/9</f>
        <v>#N/A</v>
      </c>
      <c r="E16" s="22" t="e">
        <f t="shared" ca="1" si="7"/>
        <v>#REF!</v>
      </c>
      <c r="F16" s="21" t="e">
        <f ca="1">F15+(F$24-F$15)/9</f>
        <v>#N/A</v>
      </c>
      <c r="G16" s="22" t="e">
        <f t="shared" ca="1" si="8"/>
        <v>#REF!</v>
      </c>
      <c r="H16" s="21" t="e">
        <f ca="1">H15+(H$24-H$15)/9</f>
        <v>#N/A</v>
      </c>
      <c r="I16" s="22" t="e">
        <f t="shared" ca="1" si="9"/>
        <v>#REF!</v>
      </c>
    </row>
    <row r="17" spans="1:9">
      <c r="A17" s="16">
        <v>3</v>
      </c>
      <c r="B17" s="21" t="e">
        <f t="shared" ref="B17:D23" ca="1" si="10">B16+(B$24-B$15)/9</f>
        <v>#REF!</v>
      </c>
      <c r="C17" s="22" t="e">
        <f t="shared" ca="1" si="6"/>
        <v>#REF!</v>
      </c>
      <c r="D17" s="21" t="e">
        <f t="shared" ca="1" si="10"/>
        <v>#N/A</v>
      </c>
      <c r="E17" s="22" t="e">
        <f t="shared" ca="1" si="7"/>
        <v>#REF!</v>
      </c>
      <c r="F17" s="21" t="e">
        <f t="shared" ref="F17:F23" ca="1" si="11">F16+(F$24-F$15)/9</f>
        <v>#N/A</v>
      </c>
      <c r="G17" s="22" t="e">
        <f t="shared" ca="1" si="8"/>
        <v>#REF!</v>
      </c>
      <c r="H17" s="21" t="e">
        <f t="shared" ref="H17:H23" ca="1" si="12">H16+(H$24-H$15)/9</f>
        <v>#N/A</v>
      </c>
      <c r="I17" s="22" t="e">
        <f t="shared" ca="1" si="9"/>
        <v>#REF!</v>
      </c>
    </row>
    <row r="18" spans="1:9">
      <c r="A18" s="16">
        <v>4</v>
      </c>
      <c r="B18" s="21" t="e">
        <f t="shared" ca="1" si="10"/>
        <v>#REF!</v>
      </c>
      <c r="C18" s="22" t="e">
        <f t="shared" ca="1" si="6"/>
        <v>#REF!</v>
      </c>
      <c r="D18" s="21" t="e">
        <f t="shared" ca="1" si="10"/>
        <v>#N/A</v>
      </c>
      <c r="E18" s="22" t="e">
        <f t="shared" ca="1" si="7"/>
        <v>#REF!</v>
      </c>
      <c r="F18" s="21" t="e">
        <f t="shared" ca="1" si="11"/>
        <v>#N/A</v>
      </c>
      <c r="G18" s="22" t="e">
        <f t="shared" ca="1" si="8"/>
        <v>#REF!</v>
      </c>
      <c r="H18" s="21" t="e">
        <f t="shared" ca="1" si="12"/>
        <v>#N/A</v>
      </c>
      <c r="I18" s="22" t="e">
        <f t="shared" ca="1" si="9"/>
        <v>#REF!</v>
      </c>
    </row>
    <row r="19" spans="1:9">
      <c r="A19" s="16">
        <v>5</v>
      </c>
      <c r="B19" s="21" t="e">
        <f t="shared" ca="1" si="10"/>
        <v>#REF!</v>
      </c>
      <c r="C19" s="22" t="e">
        <f t="shared" ca="1" si="6"/>
        <v>#REF!</v>
      </c>
      <c r="D19" s="21" t="e">
        <f t="shared" ca="1" si="10"/>
        <v>#N/A</v>
      </c>
      <c r="E19" s="22" t="e">
        <f t="shared" ca="1" si="7"/>
        <v>#REF!</v>
      </c>
      <c r="F19" s="21" t="e">
        <f t="shared" ca="1" si="11"/>
        <v>#N/A</v>
      </c>
      <c r="G19" s="22" t="e">
        <f t="shared" ca="1" si="8"/>
        <v>#REF!</v>
      </c>
      <c r="H19" s="21" t="e">
        <f t="shared" ca="1" si="12"/>
        <v>#N/A</v>
      </c>
      <c r="I19" s="22" t="e">
        <f t="shared" ca="1" si="9"/>
        <v>#REF!</v>
      </c>
    </row>
    <row r="20" spans="1:9">
      <c r="A20" s="16">
        <v>6</v>
      </c>
      <c r="B20" s="21" t="e">
        <f t="shared" ca="1" si="10"/>
        <v>#REF!</v>
      </c>
      <c r="C20" s="22" t="e">
        <f t="shared" ca="1" si="6"/>
        <v>#REF!</v>
      </c>
      <c r="D20" s="21" t="e">
        <f t="shared" ca="1" si="10"/>
        <v>#N/A</v>
      </c>
      <c r="E20" s="22" t="e">
        <f t="shared" ca="1" si="7"/>
        <v>#REF!</v>
      </c>
      <c r="F20" s="21" t="e">
        <f t="shared" ca="1" si="11"/>
        <v>#N/A</v>
      </c>
      <c r="G20" s="22" t="e">
        <f t="shared" ca="1" si="8"/>
        <v>#REF!</v>
      </c>
      <c r="H20" s="21" t="e">
        <f t="shared" ca="1" si="12"/>
        <v>#N/A</v>
      </c>
      <c r="I20" s="22" t="e">
        <f t="shared" ca="1" si="9"/>
        <v>#REF!</v>
      </c>
    </row>
    <row r="21" spans="1:9">
      <c r="A21" s="16">
        <v>7</v>
      </c>
      <c r="B21" s="21" t="e">
        <f t="shared" ca="1" si="10"/>
        <v>#REF!</v>
      </c>
      <c r="C21" s="22" t="e">
        <f t="shared" ca="1" si="6"/>
        <v>#REF!</v>
      </c>
      <c r="D21" s="21" t="e">
        <f t="shared" ca="1" si="10"/>
        <v>#N/A</v>
      </c>
      <c r="E21" s="22" t="e">
        <f t="shared" ca="1" si="7"/>
        <v>#REF!</v>
      </c>
      <c r="F21" s="21" t="e">
        <f t="shared" ca="1" si="11"/>
        <v>#N/A</v>
      </c>
      <c r="G21" s="22" t="e">
        <f t="shared" ca="1" si="8"/>
        <v>#REF!</v>
      </c>
      <c r="H21" s="21" t="e">
        <f t="shared" ca="1" si="12"/>
        <v>#N/A</v>
      </c>
      <c r="I21" s="22" t="e">
        <f t="shared" ca="1" si="9"/>
        <v>#REF!</v>
      </c>
    </row>
    <row r="22" spans="1:9">
      <c r="A22" s="16">
        <v>8</v>
      </c>
      <c r="B22" s="21" t="e">
        <f t="shared" ca="1" si="10"/>
        <v>#REF!</v>
      </c>
      <c r="C22" s="22" t="e">
        <f t="shared" ca="1" si="6"/>
        <v>#REF!</v>
      </c>
      <c r="D22" s="21" t="e">
        <f t="shared" ca="1" si="10"/>
        <v>#N/A</v>
      </c>
      <c r="E22" s="22" t="e">
        <f t="shared" ca="1" si="7"/>
        <v>#REF!</v>
      </c>
      <c r="F22" s="21" t="e">
        <f t="shared" ca="1" si="11"/>
        <v>#N/A</v>
      </c>
      <c r="G22" s="22" t="e">
        <f t="shared" ca="1" si="8"/>
        <v>#REF!</v>
      </c>
      <c r="H22" s="21" t="e">
        <f t="shared" ca="1" si="12"/>
        <v>#N/A</v>
      </c>
      <c r="I22" s="22" t="e">
        <f t="shared" ca="1" si="9"/>
        <v>#REF!</v>
      </c>
    </row>
    <row r="23" spans="1:9">
      <c r="A23" s="16">
        <v>9</v>
      </c>
      <c r="B23" s="21" t="e">
        <f t="shared" ca="1" si="10"/>
        <v>#REF!</v>
      </c>
      <c r="C23" s="22" t="e">
        <f t="shared" ca="1" si="6"/>
        <v>#REF!</v>
      </c>
      <c r="D23" s="21" t="e">
        <f t="shared" ca="1" si="10"/>
        <v>#N/A</v>
      </c>
      <c r="E23" s="22" t="e">
        <f t="shared" ca="1" si="7"/>
        <v>#REF!</v>
      </c>
      <c r="F23" s="21" t="e">
        <f t="shared" ca="1" si="11"/>
        <v>#N/A</v>
      </c>
      <c r="G23" s="22" t="e">
        <f t="shared" ca="1" si="8"/>
        <v>#REF!</v>
      </c>
      <c r="H23" s="21" t="e">
        <f t="shared" ca="1" si="12"/>
        <v>#N/A</v>
      </c>
      <c r="I23" s="22" t="e">
        <f t="shared" ca="1" si="9"/>
        <v>#REF!</v>
      </c>
    </row>
    <row r="24" spans="1:9" ht="15" thickBot="1">
      <c r="A24" s="16">
        <v>10</v>
      </c>
      <c r="B24" s="23" t="e">
        <f ca="1">B11</f>
        <v>#REF!</v>
      </c>
      <c r="C24" s="24" t="e">
        <f t="shared" ca="1" si="6"/>
        <v>#REF!</v>
      </c>
      <c r="D24" s="23" t="e">
        <f ca="1">OFFSET(B15,C14,0)</f>
        <v>#N/A</v>
      </c>
      <c r="E24" s="24" t="e">
        <f t="shared" ca="1" si="7"/>
        <v>#REF!</v>
      </c>
      <c r="F24" s="23" t="e">
        <f ca="1">OFFSET(D15,E14,0)</f>
        <v>#N/A</v>
      </c>
      <c r="G24" s="24" t="e">
        <f t="shared" ca="1" si="8"/>
        <v>#REF!</v>
      </c>
      <c r="H24" s="23" t="e">
        <f ca="1">OFFSET(F15,G14,0)</f>
        <v>#N/A</v>
      </c>
      <c r="I24" s="24" t="e">
        <f t="shared" ca="1" si="9"/>
        <v>#REF!</v>
      </c>
    </row>
    <row r="25" spans="1:9">
      <c r="E25" s="17"/>
      <c r="F25" s="17"/>
      <c r="G25" s="18"/>
    </row>
    <row r="26" spans="1:9">
      <c r="A26" s="15" t="s">
        <v>80</v>
      </c>
    </row>
    <row r="27" spans="1:9" ht="15" thickBot="1">
      <c r="A27" s="15"/>
      <c r="B27" s="16" t="s">
        <v>64</v>
      </c>
      <c r="C27" s="16" t="s">
        <v>65</v>
      </c>
    </row>
    <row r="28" spans="1:9">
      <c r="A28" s="25">
        <v>1</v>
      </c>
      <c r="B28" s="26">
        <v>0</v>
      </c>
      <c r="C28" s="27">
        <v>0</v>
      </c>
      <c r="E28" s="17"/>
      <c r="F28" s="28"/>
    </row>
    <row r="29" spans="1:9">
      <c r="A29" s="16">
        <v>2</v>
      </c>
      <c r="B29" s="29">
        <f ca="1">IF(OR(NOT(Задача_Вентилятор),ISNA(B32)),0,Задача_Расход)</f>
        <v>0</v>
      </c>
      <c r="C29" s="30">
        <f ca="1">IF(OR(NOT(Задача_Вентилятор),ISNA(B32)),0,Задача_Напор)</f>
        <v>0</v>
      </c>
      <c r="E29" s="17"/>
      <c r="F29" s="28"/>
    </row>
    <row r="30" spans="1:9" ht="15" thickBot="1">
      <c r="A30" s="16">
        <v>3</v>
      </c>
      <c r="B30" s="31">
        <f ca="1">IFERROR(SQRT(C30*B29^2/C29),0)</f>
        <v>0</v>
      </c>
      <c r="C30" s="32">
        <f ca="1">IFERROR(IF(ROUND(C29*(B32/B29)^2,2)&gt; C5,IF(C29&gt;=C5,C5+10,C5),ROUND(C29*(B32/B29)^2,2)),0)</f>
        <v>0</v>
      </c>
      <c r="E30" s="17"/>
      <c r="F30" s="17"/>
      <c r="G30" s="18"/>
    </row>
    <row r="31" spans="1:9" ht="15" thickBot="1">
      <c r="E31" s="17"/>
      <c r="F31" s="17"/>
      <c r="G31" s="18"/>
    </row>
    <row r="32" spans="1:9" ht="15" thickBot="1">
      <c r="A32" s="15" t="s">
        <v>81</v>
      </c>
      <c r="B32" s="33" t="e">
        <f ca="1">IF(OFFSET(H14,I14,0)=0,B11,OFFSET(H14,I14,0))</f>
        <v>#N/A</v>
      </c>
      <c r="C32" s="34" t="s">
        <v>39</v>
      </c>
      <c r="E32" s="17"/>
      <c r="F32" s="17"/>
      <c r="G32" s="18"/>
    </row>
    <row r="33" spans="1:9">
      <c r="A33" s="15"/>
      <c r="B33" s="34"/>
      <c r="C33" s="34"/>
      <c r="E33" s="17"/>
      <c r="F33" s="17"/>
      <c r="G33" s="18"/>
    </row>
    <row r="34" spans="1:9">
      <c r="A34" s="15" t="s">
        <v>82</v>
      </c>
      <c r="E34" s="17"/>
      <c r="F34" s="17"/>
      <c r="G34" s="18"/>
    </row>
    <row r="35" spans="1:9" ht="15" thickBot="1">
      <c r="C35" s="16" t="e">
        <f ca="1">MATCH(0,C36:C45,-1)</f>
        <v>#N/A</v>
      </c>
      <c r="E35" s="16" t="e">
        <f ca="1">MATCH(0,E36:E45,-1)</f>
        <v>#N/A</v>
      </c>
      <c r="G35" s="16" t="e">
        <f ca="1">MATCH(0,G36:G45,-1)</f>
        <v>#N/A</v>
      </c>
      <c r="I35" s="16" t="e">
        <f ca="1">MATCH(0,I36:I45,-1)</f>
        <v>#N/A</v>
      </c>
    </row>
    <row r="36" spans="1:9">
      <c r="A36" s="16">
        <v>1</v>
      </c>
      <c r="B36" s="19" t="e">
        <f ca="1">B5</f>
        <v>#REF!</v>
      </c>
      <c r="C36" s="20" t="e">
        <f ca="1">$Q$5+B36*($Q$6+B36*($Q$7+B36*($Q$8+B36*($Q$9+B36*($Q$10+B36*($Q$11))))))</f>
        <v>#REF!</v>
      </c>
      <c r="D36" s="19" t="e">
        <f ca="1">OFFSET(B36,C35-1,0)</f>
        <v>#N/A</v>
      </c>
      <c r="E36" s="20" t="e">
        <f ca="1">$Q$5+D36*($Q$6+D36*($Q$7+D36*($Q$8+D36*($Q$9+D36*($Q$10+D36*($Q$11))))))</f>
        <v>#REF!</v>
      </c>
      <c r="F36" s="19" t="e">
        <f ca="1">OFFSET(D36,E35-1,0)</f>
        <v>#N/A</v>
      </c>
      <c r="G36" s="20" t="e">
        <f ca="1">$Q$5+F36*($Q$6+F36*($Q$7+F36*($Q$8+F36*($Q$9+F36*($Q$10+F36*($Q$11))))))</f>
        <v>#REF!</v>
      </c>
      <c r="H36" s="19" t="e">
        <f ca="1">OFFSET(F36,G35-1,0)</f>
        <v>#N/A</v>
      </c>
      <c r="I36" s="20" t="e">
        <f ca="1">$Q$5+H36*($Q$6+H36*($Q$7+H36*($Q$8+H36*($Q$9+H36*($Q$10+H36*($Q$11))))))</f>
        <v>#REF!</v>
      </c>
    </row>
    <row r="37" spans="1:9">
      <c r="A37" s="16">
        <v>2</v>
      </c>
      <c r="B37" s="21" t="e">
        <f ca="1">B36+(B$45-B$36)/9</f>
        <v>#REF!</v>
      </c>
      <c r="C37" s="22" t="e">
        <f t="shared" ref="C37:E45" ca="1" si="13">$Q$5+B37*($Q$6+B37*($Q$7+B37*($Q$8+B37*($Q$9+B37*($Q$10+B37*($Q$11))))))</f>
        <v>#REF!</v>
      </c>
      <c r="D37" s="21" t="e">
        <f ca="1">D36+(D$45-D$36)/9</f>
        <v>#N/A</v>
      </c>
      <c r="E37" s="22" t="e">
        <f t="shared" ca="1" si="13"/>
        <v>#REF!</v>
      </c>
      <c r="F37" s="21" t="e">
        <f ca="1">F36+(F$45-F$36)/9</f>
        <v>#N/A</v>
      </c>
      <c r="G37" s="22" t="e">
        <f t="shared" ref="G37:G45" ca="1" si="14">$Q$5+F37*($Q$6+F37*($Q$7+F37*($Q$8+F37*($Q$9+F37*($Q$10+F37*($Q$11))))))</f>
        <v>#REF!</v>
      </c>
      <c r="H37" s="21" t="e">
        <f ca="1">H36+(H$45-H$36)/9</f>
        <v>#N/A</v>
      </c>
      <c r="I37" s="22" t="e">
        <f t="shared" ref="I37:I45" ca="1" si="15">$Q$5+H37*($Q$6+H37*($Q$7+H37*($Q$8+H37*($Q$9+H37*($Q$10+H37*($Q$11))))))</f>
        <v>#REF!</v>
      </c>
    </row>
    <row r="38" spans="1:9">
      <c r="A38" s="16">
        <v>3</v>
      </c>
      <c r="B38" s="21" t="e">
        <f t="shared" ref="B38:B44" ca="1" si="16">B37+(B$45-B$36)/9</f>
        <v>#REF!</v>
      </c>
      <c r="C38" s="22" t="e">
        <f t="shared" ca="1" si="13"/>
        <v>#REF!</v>
      </c>
      <c r="D38" s="21" t="e">
        <f t="shared" ref="D38:D44" ca="1" si="17">D37+(D$45-D$36)/9</f>
        <v>#N/A</v>
      </c>
      <c r="E38" s="22" t="e">
        <f t="shared" ca="1" si="13"/>
        <v>#REF!</v>
      </c>
      <c r="F38" s="21" t="e">
        <f t="shared" ref="F38:F44" ca="1" si="18">F37+(F$45-F$36)/9</f>
        <v>#N/A</v>
      </c>
      <c r="G38" s="22" t="e">
        <f t="shared" ca="1" si="14"/>
        <v>#REF!</v>
      </c>
      <c r="H38" s="21" t="e">
        <f t="shared" ref="H38:H44" ca="1" si="19">H37+(H$45-H$36)/9</f>
        <v>#N/A</v>
      </c>
      <c r="I38" s="22" t="e">
        <f t="shared" ca="1" si="15"/>
        <v>#REF!</v>
      </c>
    </row>
    <row r="39" spans="1:9">
      <c r="A39" s="16">
        <v>4</v>
      </c>
      <c r="B39" s="21" t="e">
        <f t="shared" ca="1" si="16"/>
        <v>#REF!</v>
      </c>
      <c r="C39" s="22" t="e">
        <f t="shared" ca="1" si="13"/>
        <v>#REF!</v>
      </c>
      <c r="D39" s="21" t="e">
        <f t="shared" ca="1" si="17"/>
        <v>#N/A</v>
      </c>
      <c r="E39" s="22" t="e">
        <f t="shared" ca="1" si="13"/>
        <v>#REF!</v>
      </c>
      <c r="F39" s="21" t="e">
        <f t="shared" ca="1" si="18"/>
        <v>#N/A</v>
      </c>
      <c r="G39" s="22" t="e">
        <f t="shared" ca="1" si="14"/>
        <v>#REF!</v>
      </c>
      <c r="H39" s="21" t="e">
        <f t="shared" ca="1" si="19"/>
        <v>#N/A</v>
      </c>
      <c r="I39" s="22" t="e">
        <f t="shared" ca="1" si="15"/>
        <v>#REF!</v>
      </c>
    </row>
    <row r="40" spans="1:9">
      <c r="A40" s="16">
        <v>5</v>
      </c>
      <c r="B40" s="21" t="e">
        <f t="shared" ca="1" si="16"/>
        <v>#REF!</v>
      </c>
      <c r="C40" s="22" t="e">
        <f t="shared" ca="1" si="13"/>
        <v>#REF!</v>
      </c>
      <c r="D40" s="21" t="e">
        <f t="shared" ca="1" si="17"/>
        <v>#N/A</v>
      </c>
      <c r="E40" s="22" t="e">
        <f t="shared" ca="1" si="13"/>
        <v>#REF!</v>
      </c>
      <c r="F40" s="21" t="e">
        <f t="shared" ca="1" si="18"/>
        <v>#N/A</v>
      </c>
      <c r="G40" s="22" t="e">
        <f t="shared" ca="1" si="14"/>
        <v>#REF!</v>
      </c>
      <c r="H40" s="21" t="e">
        <f t="shared" ca="1" si="19"/>
        <v>#N/A</v>
      </c>
      <c r="I40" s="22" t="e">
        <f t="shared" ca="1" si="15"/>
        <v>#REF!</v>
      </c>
    </row>
    <row r="41" spans="1:9">
      <c r="A41" s="16">
        <v>6</v>
      </c>
      <c r="B41" s="21" t="e">
        <f t="shared" ca="1" si="16"/>
        <v>#REF!</v>
      </c>
      <c r="C41" s="22" t="e">
        <f t="shared" ca="1" si="13"/>
        <v>#REF!</v>
      </c>
      <c r="D41" s="21" t="e">
        <f t="shared" ca="1" si="17"/>
        <v>#N/A</v>
      </c>
      <c r="E41" s="22" t="e">
        <f t="shared" ca="1" si="13"/>
        <v>#REF!</v>
      </c>
      <c r="F41" s="21" t="e">
        <f t="shared" ca="1" si="18"/>
        <v>#N/A</v>
      </c>
      <c r="G41" s="22" t="e">
        <f t="shared" ca="1" si="14"/>
        <v>#REF!</v>
      </c>
      <c r="H41" s="21" t="e">
        <f t="shared" ca="1" si="19"/>
        <v>#N/A</v>
      </c>
      <c r="I41" s="22" t="e">
        <f t="shared" ca="1" si="15"/>
        <v>#REF!</v>
      </c>
    </row>
    <row r="42" spans="1:9">
      <c r="A42" s="16">
        <v>7</v>
      </c>
      <c r="B42" s="21" t="e">
        <f t="shared" ca="1" si="16"/>
        <v>#REF!</v>
      </c>
      <c r="C42" s="22" t="e">
        <f t="shared" ca="1" si="13"/>
        <v>#REF!</v>
      </c>
      <c r="D42" s="21" t="e">
        <f t="shared" ca="1" si="17"/>
        <v>#N/A</v>
      </c>
      <c r="E42" s="22" t="e">
        <f t="shared" ca="1" si="13"/>
        <v>#REF!</v>
      </c>
      <c r="F42" s="21" t="e">
        <f t="shared" ca="1" si="18"/>
        <v>#N/A</v>
      </c>
      <c r="G42" s="22" t="e">
        <f t="shared" ca="1" si="14"/>
        <v>#REF!</v>
      </c>
      <c r="H42" s="21" t="e">
        <f t="shared" ca="1" si="19"/>
        <v>#N/A</v>
      </c>
      <c r="I42" s="22" t="e">
        <f t="shared" ca="1" si="15"/>
        <v>#REF!</v>
      </c>
    </row>
    <row r="43" spans="1:9">
      <c r="A43" s="16">
        <v>8</v>
      </c>
      <c r="B43" s="21" t="e">
        <f t="shared" ca="1" si="16"/>
        <v>#REF!</v>
      </c>
      <c r="C43" s="22" t="e">
        <f t="shared" ca="1" si="13"/>
        <v>#REF!</v>
      </c>
      <c r="D43" s="21" t="e">
        <f t="shared" ca="1" si="17"/>
        <v>#N/A</v>
      </c>
      <c r="E43" s="22" t="e">
        <f t="shared" ca="1" si="13"/>
        <v>#REF!</v>
      </c>
      <c r="F43" s="21" t="e">
        <f t="shared" ca="1" si="18"/>
        <v>#N/A</v>
      </c>
      <c r="G43" s="22" t="e">
        <f t="shared" ca="1" si="14"/>
        <v>#REF!</v>
      </c>
      <c r="H43" s="21" t="e">
        <f t="shared" ca="1" si="19"/>
        <v>#N/A</v>
      </c>
      <c r="I43" s="22" t="e">
        <f t="shared" ca="1" si="15"/>
        <v>#REF!</v>
      </c>
    </row>
    <row r="44" spans="1:9">
      <c r="A44" s="16">
        <v>9</v>
      </c>
      <c r="B44" s="21" t="e">
        <f t="shared" ca="1" si="16"/>
        <v>#REF!</v>
      </c>
      <c r="C44" s="22" t="e">
        <f t="shared" ca="1" si="13"/>
        <v>#REF!</v>
      </c>
      <c r="D44" s="21" t="e">
        <f t="shared" ca="1" si="17"/>
        <v>#N/A</v>
      </c>
      <c r="E44" s="22" t="e">
        <f t="shared" ca="1" si="13"/>
        <v>#REF!</v>
      </c>
      <c r="F44" s="21" t="e">
        <f t="shared" ca="1" si="18"/>
        <v>#N/A</v>
      </c>
      <c r="G44" s="22" t="e">
        <f t="shared" ca="1" si="14"/>
        <v>#REF!</v>
      </c>
      <c r="H44" s="21" t="e">
        <f t="shared" ca="1" si="19"/>
        <v>#N/A</v>
      </c>
      <c r="I44" s="22" t="e">
        <f t="shared" ca="1" si="15"/>
        <v>#REF!</v>
      </c>
    </row>
    <row r="45" spans="1:9" ht="15" thickBot="1">
      <c r="A45" s="16">
        <v>10</v>
      </c>
      <c r="B45" s="23" t="e">
        <f ca="1">B11</f>
        <v>#REF!</v>
      </c>
      <c r="C45" s="24" t="e">
        <f t="shared" ca="1" si="13"/>
        <v>#REF!</v>
      </c>
      <c r="D45" s="23" t="e">
        <f ca="1">OFFSET(B36,C35,0)</f>
        <v>#N/A</v>
      </c>
      <c r="E45" s="24" t="e">
        <f t="shared" ca="1" si="13"/>
        <v>#REF!</v>
      </c>
      <c r="F45" s="23" t="e">
        <f ca="1">OFFSET(D36,E35,0)</f>
        <v>#N/A</v>
      </c>
      <c r="G45" s="24" t="e">
        <f t="shared" ca="1" si="14"/>
        <v>#REF!</v>
      </c>
      <c r="H45" s="23" t="e">
        <f ca="1">OFFSET(F36,G35,0)</f>
        <v>#N/A</v>
      </c>
      <c r="I45" s="24" t="e">
        <f t="shared" ca="1" si="15"/>
        <v>#REF!</v>
      </c>
    </row>
    <row r="46" spans="1:9">
      <c r="A46" s="16"/>
      <c r="B46" s="35"/>
      <c r="C46" s="36"/>
      <c r="D46" s="35"/>
      <c r="E46" s="36"/>
      <c r="F46" s="35"/>
      <c r="G46" s="36"/>
      <c r="H46" s="35"/>
      <c r="I46" s="36"/>
    </row>
    <row r="47" spans="1:9" ht="15" thickBot="1">
      <c r="B47" s="34">
        <v>0</v>
      </c>
      <c r="C47" s="34">
        <f ca="1">C48</f>
        <v>0</v>
      </c>
      <c r="E47" s="17"/>
      <c r="F47" s="17"/>
      <c r="G47" s="18"/>
    </row>
    <row r="48" spans="1:9" ht="15" thickBot="1">
      <c r="A48" s="15" t="s">
        <v>83</v>
      </c>
      <c r="B48" s="37">
        <f ca="1">IFERROR(OFFSET(H35,I35,0),0)</f>
        <v>0</v>
      </c>
      <c r="C48" s="38">
        <f ca="1">IFERROR($K$5+B48*($K$6+B48*($K$7+B48*($K$8+B48*($K$9+B48*($K$10+B48*($K$11)))))),0)</f>
        <v>0</v>
      </c>
      <c r="E48" s="17"/>
      <c r="F48" s="17"/>
      <c r="G48" s="18"/>
    </row>
    <row r="49" spans="1:7">
      <c r="A49" s="15"/>
      <c r="B49" s="34">
        <f ca="1">B48</f>
        <v>0</v>
      </c>
      <c r="C49" s="16">
        <v>0</v>
      </c>
      <c r="E49" s="17"/>
      <c r="F49" s="17"/>
      <c r="G49" s="18"/>
    </row>
    <row r="50" spans="1:7">
      <c r="A50" s="15"/>
      <c r="B50" s="34"/>
      <c r="C50" s="34"/>
      <c r="E50" s="17"/>
      <c r="F50" s="17"/>
      <c r="G50" s="18"/>
    </row>
  </sheetData>
  <customSheetViews>
    <customSheetView guid="{0C99ABE2-728B-4C30-A993-CD651C64FAAE}" state="hidden">
      <selection activeCell="J8" sqref="J8"/>
      <pageMargins left="0.7" right="0.7" top="0.75" bottom="0.75" header="0.3" footer="0.3"/>
      <pageSetup paperSize="9" orientation="portrait" r:id="rId1"/>
    </customSheetView>
    <customSheetView guid="{2BA56ECA-30F6-456D-AB26-04DD1698A098}" state="hidden">
      <selection activeCell="J8" sqref="J8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215967"/>
  </sheetPr>
  <dimension ref="A1:V16"/>
  <sheetViews>
    <sheetView workbookViewId="0"/>
  </sheetViews>
  <sheetFormatPr defaultRowHeight="14.4"/>
  <cols>
    <col min="1" max="1" width="17.33203125" customWidth="1"/>
  </cols>
  <sheetData>
    <row r="1" spans="1:22">
      <c r="A1" t="s">
        <v>325</v>
      </c>
      <c r="B1" s="199" t="e">
        <f>Задача_Расход</f>
        <v>#REF!</v>
      </c>
      <c r="C1" t="s">
        <v>327</v>
      </c>
    </row>
    <row r="2" spans="1:22">
      <c r="A2" t="s">
        <v>326</v>
      </c>
      <c r="B2" s="199" t="e">
        <f>B1</f>
        <v>#REF!</v>
      </c>
      <c r="C2" t="s">
        <v>327</v>
      </c>
    </row>
    <row r="3" spans="1:22">
      <c r="A3" t="s">
        <v>328</v>
      </c>
      <c r="B3" s="336" t="e">
        <f>B1/B2</f>
        <v>#REF!</v>
      </c>
    </row>
    <row r="4" spans="1:22">
      <c r="A4" t="s">
        <v>310</v>
      </c>
      <c r="B4" s="199" t="e">
        <f>AND(B3&lt;F6,B3&gt;J6)</f>
        <v>#REF!</v>
      </c>
    </row>
    <row r="5" spans="1:22" ht="15" thickBot="1"/>
    <row r="6" spans="1:22" ht="15.6">
      <c r="A6" s="584" t="s">
        <v>258</v>
      </c>
      <c r="B6" s="577" t="s">
        <v>309</v>
      </c>
      <c r="C6" s="578"/>
      <c r="D6" s="578"/>
      <c r="E6" s="579"/>
      <c r="F6" s="319">
        <v>1.4</v>
      </c>
      <c r="G6" s="274">
        <v>1.2</v>
      </c>
      <c r="H6" s="274">
        <v>1</v>
      </c>
      <c r="I6" s="274">
        <v>0.8</v>
      </c>
      <c r="J6" s="320">
        <v>0.6</v>
      </c>
      <c r="K6" s="586" t="s">
        <v>66</v>
      </c>
      <c r="L6" s="588" t="s">
        <v>129</v>
      </c>
      <c r="M6" s="577" t="s">
        <v>329</v>
      </c>
      <c r="N6" s="578"/>
      <c r="O6" s="578"/>
      <c r="P6" s="578"/>
      <c r="Q6" s="578"/>
      <c r="R6" s="578"/>
      <c r="S6" s="578"/>
      <c r="T6" s="578"/>
      <c r="U6" s="578"/>
      <c r="V6" s="579"/>
    </row>
    <row r="7" spans="1:22" ht="16.8" thickBot="1">
      <c r="A7" s="585"/>
      <c r="B7" s="275" t="s">
        <v>311</v>
      </c>
      <c r="C7" s="276" t="s">
        <v>312</v>
      </c>
      <c r="D7" s="276" t="s">
        <v>313</v>
      </c>
      <c r="E7" s="278" t="s">
        <v>314</v>
      </c>
      <c r="F7" s="321" t="s">
        <v>315</v>
      </c>
      <c r="G7" s="277" t="s">
        <v>315</v>
      </c>
      <c r="H7" s="277" t="s">
        <v>45</v>
      </c>
      <c r="I7" s="277" t="s">
        <v>316</v>
      </c>
      <c r="J7" s="322" t="s">
        <v>316</v>
      </c>
      <c r="K7" s="587"/>
      <c r="L7" s="589"/>
      <c r="M7" s="275" t="s">
        <v>317</v>
      </c>
      <c r="N7" s="276" t="s">
        <v>318</v>
      </c>
      <c r="O7" s="333" t="s">
        <v>330</v>
      </c>
      <c r="P7" s="276" t="s">
        <v>331</v>
      </c>
      <c r="Q7" s="276" t="s">
        <v>319</v>
      </c>
      <c r="R7" s="276" t="s">
        <v>320</v>
      </c>
      <c r="S7" s="276" t="s">
        <v>321</v>
      </c>
      <c r="T7" s="276" t="s">
        <v>322</v>
      </c>
      <c r="U7" s="276" t="s">
        <v>323</v>
      </c>
      <c r="V7" s="278" t="s">
        <v>324</v>
      </c>
    </row>
    <row r="8" spans="1:22">
      <c r="A8" s="311" t="s">
        <v>139</v>
      </c>
      <c r="B8" s="281">
        <v>800</v>
      </c>
      <c r="C8" s="282">
        <v>42.5</v>
      </c>
      <c r="D8" s="312">
        <v>1200</v>
      </c>
      <c r="E8" s="315">
        <v>41.6</v>
      </c>
      <c r="F8" s="323">
        <v>-5.2</v>
      </c>
      <c r="G8" s="313">
        <v>-2.9</v>
      </c>
      <c r="H8" s="580">
        <v>0</v>
      </c>
      <c r="I8" s="313">
        <v>3.3</v>
      </c>
      <c r="J8" s="324">
        <v>8.3000000000000007</v>
      </c>
      <c r="K8" s="280">
        <f t="shared" ref="K8:K15" si="0">IFERROR((C8-E8)/(LOG10(B8)-LOG10(D8)),"")</f>
        <v>-5.110986228540817</v>
      </c>
      <c r="L8" s="314">
        <f t="shared" ref="L8:L16" si="1">IFERROR(C8-K8*LOG10(B8),"")</f>
        <v>57.337652943730561</v>
      </c>
      <c r="M8" s="281" t="e">
        <f>B$1</f>
        <v>#REF!</v>
      </c>
      <c r="N8" s="282" t="e">
        <f>B$3</f>
        <v>#REF!</v>
      </c>
      <c r="O8" s="329" t="e">
        <f t="shared" ref="O8:O16" si="2">MATCH(N8,Рекуператор_пропорция,-1)</f>
        <v>#REF!</v>
      </c>
      <c r="P8" s="282" t="e">
        <f ca="1">OFFSET(F8,0,O8-1)+(OFFSET(F8,0,O8)-OFFSET(F8,0,O8-1))*(N8-OFFSET(F$8,-2,O8-1))/(OFFSET(F$8,-2,O8)-OFFSET(F$8,-2,O8-1))</f>
        <v>#REF!</v>
      </c>
      <c r="Q8" s="283" t="str">
        <f ca="1">IFERROR(ROUND(K8*LOG10(M8)+L8,1)+P9,"")</f>
        <v/>
      </c>
      <c r="R8" s="282" t="e">
        <f t="shared" ref="R8:R16" si="3">Задача_ТемпратураНаружная</f>
        <v>#REF!</v>
      </c>
      <c r="S8" s="284" t="str">
        <f t="shared" ref="S8:S16" ca="1" si="4">IFERROR(R8+Q8/100*(T8-R8),"")</f>
        <v/>
      </c>
      <c r="T8" s="282">
        <f t="shared" ref="T8:T16" si="5">Задача_ТемператураПомещенияЗима</f>
        <v>20</v>
      </c>
      <c r="U8" s="284" t="str">
        <f t="shared" ref="U8:U16" ca="1" si="6">IFERROR(T8-N8*(S8-R8),"")</f>
        <v/>
      </c>
      <c r="V8" s="285" t="str">
        <f t="shared" ref="V8:V16" ca="1" si="7">IFERROR(0.28*1.2*M8*(S8-R8)/1000,"")</f>
        <v/>
      </c>
    </row>
    <row r="9" spans="1:22">
      <c r="A9" s="286" t="s">
        <v>140</v>
      </c>
      <c r="B9" s="291">
        <v>1300</v>
      </c>
      <c r="C9" s="287">
        <v>41.2</v>
      </c>
      <c r="D9" s="288">
        <v>1950</v>
      </c>
      <c r="E9" s="316">
        <v>39.6</v>
      </c>
      <c r="F9" s="325">
        <v>-4.7</v>
      </c>
      <c r="G9" s="279">
        <v>-2.7</v>
      </c>
      <c r="H9" s="581"/>
      <c r="I9" s="279">
        <v>3.2</v>
      </c>
      <c r="J9" s="326">
        <v>8</v>
      </c>
      <c r="K9" s="289">
        <f t="shared" si="0"/>
        <v>-9.0861977396281421</v>
      </c>
      <c r="L9" s="290">
        <f t="shared" si="1"/>
        <v>69.493905049060459</v>
      </c>
      <c r="M9" s="291" t="e">
        <f t="shared" ref="M9:M16" si="8">B$1</f>
        <v>#REF!</v>
      </c>
      <c r="N9" s="287" t="e">
        <f t="shared" ref="N9:N16" si="9">B$3</f>
        <v>#REF!</v>
      </c>
      <c r="O9" s="330" t="e">
        <f t="shared" si="2"/>
        <v>#REF!</v>
      </c>
      <c r="P9" s="287" t="e">
        <f t="shared" ref="P9:P16" ca="1" si="10">OFFSET(F9,0,O9-1)+(OFFSET(F9,0,O9)-OFFSET(F9,0,O9-1))*(N9-OFFSET(F$8,-2,O9-1))/(OFFSET(F$8,-2,O9)-OFFSET(F$8,-2,O9-1))</f>
        <v>#REF!</v>
      </c>
      <c r="Q9" s="292" t="str">
        <f t="shared" ref="Q9:Q16" ca="1" si="11">IFERROR(ROUND(K9*LOG10(M9)+L9,1)+P10,"")</f>
        <v/>
      </c>
      <c r="R9" s="282" t="e">
        <f t="shared" si="3"/>
        <v>#REF!</v>
      </c>
      <c r="S9" s="293" t="str">
        <f t="shared" ca="1" si="4"/>
        <v/>
      </c>
      <c r="T9" s="282">
        <f t="shared" si="5"/>
        <v>20</v>
      </c>
      <c r="U9" s="293" t="str">
        <f t="shared" ca="1" si="6"/>
        <v/>
      </c>
      <c r="V9" s="294" t="str">
        <f t="shared" ca="1" si="7"/>
        <v/>
      </c>
    </row>
    <row r="10" spans="1:22">
      <c r="A10" s="286" t="s">
        <v>141</v>
      </c>
      <c r="B10" s="291">
        <v>1500</v>
      </c>
      <c r="C10" s="287">
        <v>46.2</v>
      </c>
      <c r="D10" s="288">
        <v>2250</v>
      </c>
      <c r="E10" s="316">
        <v>45.6</v>
      </c>
      <c r="F10" s="325">
        <v>-5.3</v>
      </c>
      <c r="G10" s="279">
        <v>-2.8</v>
      </c>
      <c r="H10" s="581"/>
      <c r="I10" s="279">
        <v>3.3</v>
      </c>
      <c r="J10" s="326">
        <v>8</v>
      </c>
      <c r="K10" s="289">
        <f t="shared" si="0"/>
        <v>-3.4073241523605495</v>
      </c>
      <c r="L10" s="290">
        <f t="shared" si="1"/>
        <v>57.021972457081652</v>
      </c>
      <c r="M10" s="291" t="e">
        <f t="shared" si="8"/>
        <v>#REF!</v>
      </c>
      <c r="N10" s="287" t="e">
        <f t="shared" si="9"/>
        <v>#REF!</v>
      </c>
      <c r="O10" s="330" t="e">
        <f t="shared" si="2"/>
        <v>#REF!</v>
      </c>
      <c r="P10" s="287" t="e">
        <f t="shared" ca="1" si="10"/>
        <v>#REF!</v>
      </c>
      <c r="Q10" s="292" t="str">
        <f t="shared" ca="1" si="11"/>
        <v/>
      </c>
      <c r="R10" s="282" t="e">
        <f t="shared" si="3"/>
        <v>#REF!</v>
      </c>
      <c r="S10" s="293" t="str">
        <f t="shared" ca="1" si="4"/>
        <v/>
      </c>
      <c r="T10" s="282">
        <f t="shared" si="5"/>
        <v>20</v>
      </c>
      <c r="U10" s="293" t="str">
        <f t="shared" ca="1" si="6"/>
        <v/>
      </c>
      <c r="V10" s="294" t="str">
        <f t="shared" ca="1" si="7"/>
        <v/>
      </c>
    </row>
    <row r="11" spans="1:22">
      <c r="A11" s="286" t="s">
        <v>142</v>
      </c>
      <c r="B11" s="291">
        <v>1802</v>
      </c>
      <c r="C11" s="287">
        <v>40.6</v>
      </c>
      <c r="D11" s="288">
        <v>2703</v>
      </c>
      <c r="E11" s="316">
        <v>38.200000000000003</v>
      </c>
      <c r="F11" s="325">
        <v>-4.3</v>
      </c>
      <c r="G11" s="279">
        <v>-2.2000000000000002</v>
      </c>
      <c r="H11" s="581"/>
      <c r="I11" s="279">
        <v>3.7</v>
      </c>
      <c r="J11" s="326">
        <v>8.3000000000000007</v>
      </c>
      <c r="K11" s="289">
        <f t="shared" si="0"/>
        <v>-13.629296609442159</v>
      </c>
      <c r="L11" s="290">
        <f t="shared" si="1"/>
        <v>84.973647674769126</v>
      </c>
      <c r="M11" s="291" t="e">
        <f t="shared" si="8"/>
        <v>#REF!</v>
      </c>
      <c r="N11" s="287" t="e">
        <f t="shared" si="9"/>
        <v>#REF!</v>
      </c>
      <c r="O11" s="330" t="e">
        <f t="shared" si="2"/>
        <v>#REF!</v>
      </c>
      <c r="P11" s="287" t="e">
        <f t="shared" ca="1" si="10"/>
        <v>#REF!</v>
      </c>
      <c r="Q11" s="292" t="str">
        <f t="shared" ca="1" si="11"/>
        <v/>
      </c>
      <c r="R11" s="282" t="e">
        <f t="shared" si="3"/>
        <v>#REF!</v>
      </c>
      <c r="S11" s="293" t="str">
        <f t="shared" ca="1" si="4"/>
        <v/>
      </c>
      <c r="T11" s="282">
        <f t="shared" si="5"/>
        <v>20</v>
      </c>
      <c r="U11" s="293" t="str">
        <f t="shared" ca="1" si="6"/>
        <v/>
      </c>
      <c r="V11" s="294" t="str">
        <f t="shared" ca="1" si="7"/>
        <v/>
      </c>
    </row>
    <row r="12" spans="1:22">
      <c r="A12" s="286" t="s">
        <v>143</v>
      </c>
      <c r="B12" s="291">
        <v>2102</v>
      </c>
      <c r="C12" s="287">
        <v>39.799999999999997</v>
      </c>
      <c r="D12" s="288">
        <v>3153</v>
      </c>
      <c r="E12" s="316">
        <v>37.5</v>
      </c>
      <c r="F12" s="325">
        <v>-4.3</v>
      </c>
      <c r="G12" s="279">
        <v>-2.2000000000000002</v>
      </c>
      <c r="H12" s="581"/>
      <c r="I12" s="279">
        <v>3.7</v>
      </c>
      <c r="J12" s="326">
        <v>8.1999999999999993</v>
      </c>
      <c r="K12" s="289">
        <f t="shared" si="0"/>
        <v>-13.061409250715393</v>
      </c>
      <c r="L12" s="290">
        <f t="shared" si="1"/>
        <v>83.19826563722637</v>
      </c>
      <c r="M12" s="291" t="e">
        <f t="shared" si="8"/>
        <v>#REF!</v>
      </c>
      <c r="N12" s="287" t="e">
        <f t="shared" si="9"/>
        <v>#REF!</v>
      </c>
      <c r="O12" s="330" t="e">
        <f t="shared" si="2"/>
        <v>#REF!</v>
      </c>
      <c r="P12" s="287" t="e">
        <f t="shared" ca="1" si="10"/>
        <v>#REF!</v>
      </c>
      <c r="Q12" s="292" t="str">
        <f t="shared" ca="1" si="11"/>
        <v/>
      </c>
      <c r="R12" s="282" t="e">
        <f t="shared" si="3"/>
        <v>#REF!</v>
      </c>
      <c r="S12" s="293" t="str">
        <f t="shared" ca="1" si="4"/>
        <v/>
      </c>
      <c r="T12" s="282">
        <f t="shared" si="5"/>
        <v>20</v>
      </c>
      <c r="U12" s="293" t="str">
        <f t="shared" ca="1" si="6"/>
        <v/>
      </c>
      <c r="V12" s="294" t="str">
        <f t="shared" ca="1" si="7"/>
        <v/>
      </c>
    </row>
    <row r="13" spans="1:22">
      <c r="A13" s="286" t="s">
        <v>144</v>
      </c>
      <c r="B13" s="291">
        <v>2802</v>
      </c>
      <c r="C13" s="287">
        <v>46.2</v>
      </c>
      <c r="D13" s="288">
        <v>4204</v>
      </c>
      <c r="E13" s="316">
        <v>44.3</v>
      </c>
      <c r="F13" s="325">
        <v>-4.8</v>
      </c>
      <c r="G13" s="279">
        <v>-2.6</v>
      </c>
      <c r="H13" s="581"/>
      <c r="I13" s="279">
        <v>3</v>
      </c>
      <c r="J13" s="326">
        <v>8.1999999999999993</v>
      </c>
      <c r="K13" s="289">
        <f t="shared" si="0"/>
        <v>-10.783532834841917</v>
      </c>
      <c r="L13" s="290">
        <f t="shared" si="1"/>
        <v>83.375885787167789</v>
      </c>
      <c r="M13" s="291" t="e">
        <f t="shared" si="8"/>
        <v>#REF!</v>
      </c>
      <c r="N13" s="287" t="e">
        <f t="shared" si="9"/>
        <v>#REF!</v>
      </c>
      <c r="O13" s="330" t="e">
        <f t="shared" si="2"/>
        <v>#REF!</v>
      </c>
      <c r="P13" s="287" t="e">
        <f t="shared" ca="1" si="10"/>
        <v>#REF!</v>
      </c>
      <c r="Q13" s="292" t="str">
        <f t="shared" ca="1" si="11"/>
        <v/>
      </c>
      <c r="R13" s="282" t="e">
        <f t="shared" si="3"/>
        <v>#REF!</v>
      </c>
      <c r="S13" s="293" t="str">
        <f t="shared" ca="1" si="4"/>
        <v/>
      </c>
      <c r="T13" s="282">
        <f t="shared" si="5"/>
        <v>20</v>
      </c>
      <c r="U13" s="293" t="str">
        <f t="shared" ca="1" si="6"/>
        <v/>
      </c>
      <c r="V13" s="294" t="str">
        <f t="shared" ca="1" si="7"/>
        <v/>
      </c>
    </row>
    <row r="14" spans="1:22">
      <c r="A14" s="286" t="s">
        <v>145</v>
      </c>
      <c r="B14" s="291">
        <v>4003</v>
      </c>
      <c r="C14" s="287">
        <v>45.7</v>
      </c>
      <c r="D14" s="288">
        <v>6005</v>
      </c>
      <c r="E14" s="316">
        <v>43.7</v>
      </c>
      <c r="F14" s="325">
        <v>-4.8</v>
      </c>
      <c r="G14" s="279">
        <v>-2.5</v>
      </c>
      <c r="H14" s="581"/>
      <c r="I14" s="279">
        <v>3.1</v>
      </c>
      <c r="J14" s="326">
        <v>8.3000000000000007</v>
      </c>
      <c r="K14" s="289">
        <f t="shared" si="0"/>
        <v>-11.35541519569923</v>
      </c>
      <c r="L14" s="290">
        <f t="shared" si="1"/>
        <v>86.606584070647443</v>
      </c>
      <c r="M14" s="291" t="e">
        <f t="shared" si="8"/>
        <v>#REF!</v>
      </c>
      <c r="N14" s="287" t="e">
        <f t="shared" si="9"/>
        <v>#REF!</v>
      </c>
      <c r="O14" s="330" t="e">
        <f t="shared" si="2"/>
        <v>#REF!</v>
      </c>
      <c r="P14" s="287" t="e">
        <f t="shared" ca="1" si="10"/>
        <v>#REF!</v>
      </c>
      <c r="Q14" s="292" t="str">
        <f t="shared" ca="1" si="11"/>
        <v/>
      </c>
      <c r="R14" s="282" t="e">
        <f t="shared" si="3"/>
        <v>#REF!</v>
      </c>
      <c r="S14" s="293" t="str">
        <f t="shared" ca="1" si="4"/>
        <v/>
      </c>
      <c r="T14" s="282">
        <f t="shared" si="5"/>
        <v>20</v>
      </c>
      <c r="U14" s="293" t="str">
        <f t="shared" ca="1" si="6"/>
        <v/>
      </c>
      <c r="V14" s="294" t="str">
        <f t="shared" ca="1" si="7"/>
        <v/>
      </c>
    </row>
    <row r="15" spans="1:22">
      <c r="A15" s="286" t="s">
        <v>146</v>
      </c>
      <c r="B15" s="309">
        <v>4650</v>
      </c>
      <c r="C15" s="295">
        <v>45.1</v>
      </c>
      <c r="D15" s="296">
        <v>6975</v>
      </c>
      <c r="E15" s="317">
        <v>43</v>
      </c>
      <c r="F15" s="325">
        <v>-4.8</v>
      </c>
      <c r="G15" s="279">
        <v>-2.5</v>
      </c>
      <c r="H15" s="582"/>
      <c r="I15" s="279">
        <v>3.1</v>
      </c>
      <c r="J15" s="326">
        <v>8.1999999999999993</v>
      </c>
      <c r="K15" s="297">
        <f t="shared" si="0"/>
        <v>-11.925634533261904</v>
      </c>
      <c r="L15" s="298">
        <f t="shared" si="1"/>
        <v>88.836703584097791</v>
      </c>
      <c r="M15" s="309" t="e">
        <f t="shared" si="8"/>
        <v>#REF!</v>
      </c>
      <c r="N15" s="295" t="e">
        <f t="shared" si="9"/>
        <v>#REF!</v>
      </c>
      <c r="O15" s="331" t="e">
        <f t="shared" si="2"/>
        <v>#REF!</v>
      </c>
      <c r="P15" s="295" t="e">
        <f t="shared" ca="1" si="10"/>
        <v>#REF!</v>
      </c>
      <c r="Q15" s="292" t="str">
        <f t="shared" ca="1" si="11"/>
        <v/>
      </c>
      <c r="R15" s="282" t="e">
        <f t="shared" si="3"/>
        <v>#REF!</v>
      </c>
      <c r="S15" s="293" t="str">
        <f t="shared" ca="1" si="4"/>
        <v/>
      </c>
      <c r="T15" s="282">
        <f t="shared" si="5"/>
        <v>20</v>
      </c>
      <c r="U15" s="293" t="str">
        <f t="shared" ca="1" si="6"/>
        <v/>
      </c>
      <c r="V15" s="294" t="str">
        <f t="shared" ca="1" si="7"/>
        <v/>
      </c>
    </row>
    <row r="16" spans="1:22" ht="15" thickBot="1">
      <c r="A16" s="299" t="s">
        <v>147</v>
      </c>
      <c r="B16" s="310">
        <v>5004</v>
      </c>
      <c r="C16" s="300">
        <v>54.4</v>
      </c>
      <c r="D16" s="301">
        <v>7506</v>
      </c>
      <c r="E16" s="318">
        <v>52.5</v>
      </c>
      <c r="F16" s="327">
        <v>-7.2</v>
      </c>
      <c r="G16" s="307">
        <v>-3.5</v>
      </c>
      <c r="H16" s="583"/>
      <c r="I16" s="307">
        <v>3.5</v>
      </c>
      <c r="J16" s="328">
        <v>7.7</v>
      </c>
      <c r="K16" s="302">
        <f>IFERROR((C16-E16)/(LOG10(B16)-LOG10(D16)),"")</f>
        <v>-10.789859815808374</v>
      </c>
      <c r="L16" s="303">
        <f t="shared" si="1"/>
        <v>94.315115092215308</v>
      </c>
      <c r="M16" s="310" t="e">
        <f t="shared" si="8"/>
        <v>#REF!</v>
      </c>
      <c r="N16" s="300" t="e">
        <f t="shared" si="9"/>
        <v>#REF!</v>
      </c>
      <c r="O16" s="332" t="e">
        <f t="shared" si="2"/>
        <v>#REF!</v>
      </c>
      <c r="P16" s="300" t="e">
        <f t="shared" ca="1" si="10"/>
        <v>#REF!</v>
      </c>
      <c r="Q16" s="304" t="str">
        <f t="shared" si="11"/>
        <v/>
      </c>
      <c r="R16" s="308" t="e">
        <f t="shared" si="3"/>
        <v>#REF!</v>
      </c>
      <c r="S16" s="305" t="str">
        <f t="shared" si="4"/>
        <v/>
      </c>
      <c r="T16" s="300">
        <f t="shared" si="5"/>
        <v>20</v>
      </c>
      <c r="U16" s="305" t="str">
        <f t="shared" si="6"/>
        <v/>
      </c>
      <c r="V16" s="306" t="str">
        <f t="shared" si="7"/>
        <v/>
      </c>
    </row>
  </sheetData>
  <customSheetViews>
    <customSheetView guid="{0C99ABE2-728B-4C30-A993-CD651C64FAAE}" state="hidden">
      <pageMargins left="0.7" right="0.7" top="0.75" bottom="0.75" header="0.3" footer="0.3"/>
      <pageSetup paperSize="9" orientation="portrait" r:id="rId1"/>
    </customSheetView>
    <customSheetView guid="{2BA56ECA-30F6-456D-AB26-04DD1698A098}" state="hidden">
      <pageMargins left="0.7" right="0.7" top="0.75" bottom="0.75" header="0.3" footer="0.3"/>
      <pageSetup paperSize="9" orientation="portrait" r:id="rId2"/>
    </customSheetView>
  </customSheetViews>
  <mergeCells count="6">
    <mergeCell ref="M6:V6"/>
    <mergeCell ref="H8:H16"/>
    <mergeCell ref="A6:A7"/>
    <mergeCell ref="B6:E6"/>
    <mergeCell ref="K6:K7"/>
    <mergeCell ref="L6:L7"/>
  </mergeCells>
  <dataValidations count="2">
    <dataValidation type="list" errorStyle="warning" allowBlank="1" showInputMessage="1" showErrorMessage="1" errorTitle="Ошибка" error="Выберите значение из списка" promptTitle="Подсказка" prompt="Выберите соотношение расхода приточного и вытяжного воздуха" sqref="N8:N16">
      <formula1>Рекуператор_пропорция</formula1>
    </dataValidation>
    <dataValidation errorStyle="warning" allowBlank="1" errorTitle="Ошибка" error="Выберите значение из списка" promptTitle="Подсказка" prompt="Выберите соотношение расхода приточного и вытяжного воздуха" sqref="O8:P16"/>
  </dataValidations>
  <pageMargins left="0.7" right="0.7" top="0.75" bottom="0.75" header="0.3" footer="0.3"/>
  <pageSetup paperSize="9" orientation="portrait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215967"/>
  </sheetPr>
  <dimension ref="A1:AV368"/>
  <sheetViews>
    <sheetView zoomScaleNormal="100" workbookViewId="0">
      <selection activeCell="M92" sqref="M92"/>
    </sheetView>
  </sheetViews>
  <sheetFormatPr defaultRowHeight="14.4"/>
  <cols>
    <col min="1" max="1" width="31.6640625" customWidth="1"/>
    <col min="2" max="2" width="15.5546875" style="163" customWidth="1"/>
    <col min="15" max="15" width="28.6640625" style="163" customWidth="1"/>
    <col min="18" max="18" width="11" bestFit="1" customWidth="1"/>
    <col min="265" max="265" width="31.6640625" customWidth="1"/>
    <col min="266" max="266" width="15.5546875" customWidth="1"/>
    <col min="271" max="271" width="28.6640625" customWidth="1"/>
    <col min="274" max="274" width="11" bestFit="1" customWidth="1"/>
    <col min="521" max="521" width="31.6640625" customWidth="1"/>
    <col min="522" max="522" width="15.5546875" customWidth="1"/>
    <col min="527" max="527" width="28.6640625" customWidth="1"/>
    <col min="530" max="530" width="11" bestFit="1" customWidth="1"/>
    <col min="777" max="777" width="31.6640625" customWidth="1"/>
    <col min="778" max="778" width="15.5546875" customWidth="1"/>
    <col min="783" max="783" width="28.6640625" customWidth="1"/>
    <col min="786" max="786" width="11" bestFit="1" customWidth="1"/>
    <col min="1033" max="1033" width="31.6640625" customWidth="1"/>
    <col min="1034" max="1034" width="15.5546875" customWidth="1"/>
    <col min="1039" max="1039" width="28.6640625" customWidth="1"/>
    <col min="1042" max="1042" width="11" bestFit="1" customWidth="1"/>
    <col min="1289" max="1289" width="31.6640625" customWidth="1"/>
    <col min="1290" max="1290" width="15.5546875" customWidth="1"/>
    <col min="1295" max="1295" width="28.6640625" customWidth="1"/>
    <col min="1298" max="1298" width="11" bestFit="1" customWidth="1"/>
    <col min="1545" max="1545" width="31.6640625" customWidth="1"/>
    <col min="1546" max="1546" width="15.5546875" customWidth="1"/>
    <col min="1551" max="1551" width="28.6640625" customWidth="1"/>
    <col min="1554" max="1554" width="11" bestFit="1" customWidth="1"/>
    <col min="1801" max="1801" width="31.6640625" customWidth="1"/>
    <col min="1802" max="1802" width="15.5546875" customWidth="1"/>
    <col min="1807" max="1807" width="28.6640625" customWidth="1"/>
    <col min="1810" max="1810" width="11" bestFit="1" customWidth="1"/>
    <col min="2057" max="2057" width="31.6640625" customWidth="1"/>
    <col min="2058" max="2058" width="15.5546875" customWidth="1"/>
    <col min="2063" max="2063" width="28.6640625" customWidth="1"/>
    <col min="2066" max="2066" width="11" bestFit="1" customWidth="1"/>
    <col min="2313" max="2313" width="31.6640625" customWidth="1"/>
    <col min="2314" max="2314" width="15.5546875" customWidth="1"/>
    <col min="2319" max="2319" width="28.6640625" customWidth="1"/>
    <col min="2322" max="2322" width="11" bestFit="1" customWidth="1"/>
    <col min="2569" max="2569" width="31.6640625" customWidth="1"/>
    <col min="2570" max="2570" width="15.5546875" customWidth="1"/>
    <col min="2575" max="2575" width="28.6640625" customWidth="1"/>
    <col min="2578" max="2578" width="11" bestFit="1" customWidth="1"/>
    <col min="2825" max="2825" width="31.6640625" customWidth="1"/>
    <col min="2826" max="2826" width="15.5546875" customWidth="1"/>
    <col min="2831" max="2831" width="28.6640625" customWidth="1"/>
    <col min="2834" max="2834" width="11" bestFit="1" customWidth="1"/>
    <col min="3081" max="3081" width="31.6640625" customWidth="1"/>
    <col min="3082" max="3082" width="15.5546875" customWidth="1"/>
    <col min="3087" max="3087" width="28.6640625" customWidth="1"/>
    <col min="3090" max="3090" width="11" bestFit="1" customWidth="1"/>
    <col min="3337" max="3337" width="31.6640625" customWidth="1"/>
    <col min="3338" max="3338" width="15.5546875" customWidth="1"/>
    <col min="3343" max="3343" width="28.6640625" customWidth="1"/>
    <col min="3346" max="3346" width="11" bestFit="1" customWidth="1"/>
    <col min="3593" max="3593" width="31.6640625" customWidth="1"/>
    <col min="3594" max="3594" width="15.5546875" customWidth="1"/>
    <col min="3599" max="3599" width="28.6640625" customWidth="1"/>
    <col min="3602" max="3602" width="11" bestFit="1" customWidth="1"/>
    <col min="3849" max="3849" width="31.6640625" customWidth="1"/>
    <col min="3850" max="3850" width="15.5546875" customWidth="1"/>
    <col min="3855" max="3855" width="28.6640625" customWidth="1"/>
    <col min="3858" max="3858" width="11" bestFit="1" customWidth="1"/>
    <col min="4105" max="4105" width="31.6640625" customWidth="1"/>
    <col min="4106" max="4106" width="15.5546875" customWidth="1"/>
    <col min="4111" max="4111" width="28.6640625" customWidth="1"/>
    <col min="4114" max="4114" width="11" bestFit="1" customWidth="1"/>
    <col min="4361" max="4361" width="31.6640625" customWidth="1"/>
    <col min="4362" max="4362" width="15.5546875" customWidth="1"/>
    <col min="4367" max="4367" width="28.6640625" customWidth="1"/>
    <col min="4370" max="4370" width="11" bestFit="1" customWidth="1"/>
    <col min="4617" max="4617" width="31.6640625" customWidth="1"/>
    <col min="4618" max="4618" width="15.5546875" customWidth="1"/>
    <col min="4623" max="4623" width="28.6640625" customWidth="1"/>
    <col min="4626" max="4626" width="11" bestFit="1" customWidth="1"/>
    <col min="4873" max="4873" width="31.6640625" customWidth="1"/>
    <col min="4874" max="4874" width="15.5546875" customWidth="1"/>
    <col min="4879" max="4879" width="28.6640625" customWidth="1"/>
    <col min="4882" max="4882" width="11" bestFit="1" customWidth="1"/>
    <col min="5129" max="5129" width="31.6640625" customWidth="1"/>
    <col min="5130" max="5130" width="15.5546875" customWidth="1"/>
    <col min="5135" max="5135" width="28.6640625" customWidth="1"/>
    <col min="5138" max="5138" width="11" bestFit="1" customWidth="1"/>
    <col min="5385" max="5385" width="31.6640625" customWidth="1"/>
    <col min="5386" max="5386" width="15.5546875" customWidth="1"/>
    <col min="5391" max="5391" width="28.6640625" customWidth="1"/>
    <col min="5394" max="5394" width="11" bestFit="1" customWidth="1"/>
    <col min="5641" max="5641" width="31.6640625" customWidth="1"/>
    <col min="5642" max="5642" width="15.5546875" customWidth="1"/>
    <col min="5647" max="5647" width="28.6640625" customWidth="1"/>
    <col min="5650" max="5650" width="11" bestFit="1" customWidth="1"/>
    <col min="5897" max="5897" width="31.6640625" customWidth="1"/>
    <col min="5898" max="5898" width="15.5546875" customWidth="1"/>
    <col min="5903" max="5903" width="28.6640625" customWidth="1"/>
    <col min="5906" max="5906" width="11" bestFit="1" customWidth="1"/>
    <col min="6153" max="6153" width="31.6640625" customWidth="1"/>
    <col min="6154" max="6154" width="15.5546875" customWidth="1"/>
    <col min="6159" max="6159" width="28.6640625" customWidth="1"/>
    <col min="6162" max="6162" width="11" bestFit="1" customWidth="1"/>
    <col min="6409" max="6409" width="31.6640625" customWidth="1"/>
    <col min="6410" max="6410" width="15.5546875" customWidth="1"/>
    <col min="6415" max="6415" width="28.6640625" customWidth="1"/>
    <col min="6418" max="6418" width="11" bestFit="1" customWidth="1"/>
    <col min="6665" max="6665" width="31.6640625" customWidth="1"/>
    <col min="6666" max="6666" width="15.5546875" customWidth="1"/>
    <col min="6671" max="6671" width="28.6640625" customWidth="1"/>
    <col min="6674" max="6674" width="11" bestFit="1" customWidth="1"/>
    <col min="6921" max="6921" width="31.6640625" customWidth="1"/>
    <col min="6922" max="6922" width="15.5546875" customWidth="1"/>
    <col min="6927" max="6927" width="28.6640625" customWidth="1"/>
    <col min="6930" max="6930" width="11" bestFit="1" customWidth="1"/>
    <col min="7177" max="7177" width="31.6640625" customWidth="1"/>
    <col min="7178" max="7178" width="15.5546875" customWidth="1"/>
    <col min="7183" max="7183" width="28.6640625" customWidth="1"/>
    <col min="7186" max="7186" width="11" bestFit="1" customWidth="1"/>
    <col min="7433" max="7433" width="31.6640625" customWidth="1"/>
    <col min="7434" max="7434" width="15.5546875" customWidth="1"/>
    <col min="7439" max="7439" width="28.6640625" customWidth="1"/>
    <col min="7442" max="7442" width="11" bestFit="1" customWidth="1"/>
    <col min="7689" max="7689" width="31.6640625" customWidth="1"/>
    <col min="7690" max="7690" width="15.5546875" customWidth="1"/>
    <col min="7695" max="7695" width="28.6640625" customWidth="1"/>
    <col min="7698" max="7698" width="11" bestFit="1" customWidth="1"/>
    <col min="7945" max="7945" width="31.6640625" customWidth="1"/>
    <col min="7946" max="7946" width="15.5546875" customWidth="1"/>
    <col min="7951" max="7951" width="28.6640625" customWidth="1"/>
    <col min="7954" max="7954" width="11" bestFit="1" customWidth="1"/>
    <col min="8201" max="8201" width="31.6640625" customWidth="1"/>
    <col min="8202" max="8202" width="15.5546875" customWidth="1"/>
    <col min="8207" max="8207" width="28.6640625" customWidth="1"/>
    <col min="8210" max="8210" width="11" bestFit="1" customWidth="1"/>
    <col min="8457" max="8457" width="31.6640625" customWidth="1"/>
    <col min="8458" max="8458" width="15.5546875" customWidth="1"/>
    <col min="8463" max="8463" width="28.6640625" customWidth="1"/>
    <col min="8466" max="8466" width="11" bestFit="1" customWidth="1"/>
    <col min="8713" max="8713" width="31.6640625" customWidth="1"/>
    <col min="8714" max="8714" width="15.5546875" customWidth="1"/>
    <col min="8719" max="8719" width="28.6640625" customWidth="1"/>
    <col min="8722" max="8722" width="11" bestFit="1" customWidth="1"/>
    <col min="8969" max="8969" width="31.6640625" customWidth="1"/>
    <col min="8970" max="8970" width="15.5546875" customWidth="1"/>
    <col min="8975" max="8975" width="28.6640625" customWidth="1"/>
    <col min="8978" max="8978" width="11" bestFit="1" customWidth="1"/>
    <col min="9225" max="9225" width="31.6640625" customWidth="1"/>
    <col min="9226" max="9226" width="15.5546875" customWidth="1"/>
    <col min="9231" max="9231" width="28.6640625" customWidth="1"/>
    <col min="9234" max="9234" width="11" bestFit="1" customWidth="1"/>
    <col min="9481" max="9481" width="31.6640625" customWidth="1"/>
    <col min="9482" max="9482" width="15.5546875" customWidth="1"/>
    <col min="9487" max="9487" width="28.6640625" customWidth="1"/>
    <col min="9490" max="9490" width="11" bestFit="1" customWidth="1"/>
    <col min="9737" max="9737" width="31.6640625" customWidth="1"/>
    <col min="9738" max="9738" width="15.5546875" customWidth="1"/>
    <col min="9743" max="9743" width="28.6640625" customWidth="1"/>
    <col min="9746" max="9746" width="11" bestFit="1" customWidth="1"/>
    <col min="9993" max="9993" width="31.6640625" customWidth="1"/>
    <col min="9994" max="9994" width="15.5546875" customWidth="1"/>
    <col min="9999" max="9999" width="28.6640625" customWidth="1"/>
    <col min="10002" max="10002" width="11" bestFit="1" customWidth="1"/>
    <col min="10249" max="10249" width="31.6640625" customWidth="1"/>
    <col min="10250" max="10250" width="15.5546875" customWidth="1"/>
    <col min="10255" max="10255" width="28.6640625" customWidth="1"/>
    <col min="10258" max="10258" width="11" bestFit="1" customWidth="1"/>
    <col min="10505" max="10505" width="31.6640625" customWidth="1"/>
    <col min="10506" max="10506" width="15.5546875" customWidth="1"/>
    <col min="10511" max="10511" width="28.6640625" customWidth="1"/>
    <col min="10514" max="10514" width="11" bestFit="1" customWidth="1"/>
    <col min="10761" max="10761" width="31.6640625" customWidth="1"/>
    <col min="10762" max="10762" width="15.5546875" customWidth="1"/>
    <col min="10767" max="10767" width="28.6640625" customWidth="1"/>
    <col min="10770" max="10770" width="11" bestFit="1" customWidth="1"/>
    <col min="11017" max="11017" width="31.6640625" customWidth="1"/>
    <col min="11018" max="11018" width="15.5546875" customWidth="1"/>
    <col min="11023" max="11023" width="28.6640625" customWidth="1"/>
    <col min="11026" max="11026" width="11" bestFit="1" customWidth="1"/>
    <col min="11273" max="11273" width="31.6640625" customWidth="1"/>
    <col min="11274" max="11274" width="15.5546875" customWidth="1"/>
    <col min="11279" max="11279" width="28.6640625" customWidth="1"/>
    <col min="11282" max="11282" width="11" bestFit="1" customWidth="1"/>
    <col min="11529" max="11529" width="31.6640625" customWidth="1"/>
    <col min="11530" max="11530" width="15.5546875" customWidth="1"/>
    <col min="11535" max="11535" width="28.6640625" customWidth="1"/>
    <col min="11538" max="11538" width="11" bestFit="1" customWidth="1"/>
    <col min="11785" max="11785" width="31.6640625" customWidth="1"/>
    <col min="11786" max="11786" width="15.5546875" customWidth="1"/>
    <col min="11791" max="11791" width="28.6640625" customWidth="1"/>
    <col min="11794" max="11794" width="11" bestFit="1" customWidth="1"/>
    <col min="12041" max="12041" width="31.6640625" customWidth="1"/>
    <col min="12042" max="12042" width="15.5546875" customWidth="1"/>
    <col min="12047" max="12047" width="28.6640625" customWidth="1"/>
    <col min="12050" max="12050" width="11" bestFit="1" customWidth="1"/>
    <col min="12297" max="12297" width="31.6640625" customWidth="1"/>
    <col min="12298" max="12298" width="15.5546875" customWidth="1"/>
    <col min="12303" max="12303" width="28.6640625" customWidth="1"/>
    <col min="12306" max="12306" width="11" bestFit="1" customWidth="1"/>
    <col min="12553" max="12553" width="31.6640625" customWidth="1"/>
    <col min="12554" max="12554" width="15.5546875" customWidth="1"/>
    <col min="12559" max="12559" width="28.6640625" customWidth="1"/>
    <col min="12562" max="12562" width="11" bestFit="1" customWidth="1"/>
    <col min="12809" max="12809" width="31.6640625" customWidth="1"/>
    <col min="12810" max="12810" width="15.5546875" customWidth="1"/>
    <col min="12815" max="12815" width="28.6640625" customWidth="1"/>
    <col min="12818" max="12818" width="11" bestFit="1" customWidth="1"/>
    <col min="13065" max="13065" width="31.6640625" customWidth="1"/>
    <col min="13066" max="13066" width="15.5546875" customWidth="1"/>
    <col min="13071" max="13071" width="28.6640625" customWidth="1"/>
    <col min="13074" max="13074" width="11" bestFit="1" customWidth="1"/>
    <col min="13321" max="13321" width="31.6640625" customWidth="1"/>
    <col min="13322" max="13322" width="15.5546875" customWidth="1"/>
    <col min="13327" max="13327" width="28.6640625" customWidth="1"/>
    <col min="13330" max="13330" width="11" bestFit="1" customWidth="1"/>
    <col min="13577" max="13577" width="31.6640625" customWidth="1"/>
    <col min="13578" max="13578" width="15.5546875" customWidth="1"/>
    <col min="13583" max="13583" width="28.6640625" customWidth="1"/>
    <col min="13586" max="13586" width="11" bestFit="1" customWidth="1"/>
    <col min="13833" max="13833" width="31.6640625" customWidth="1"/>
    <col min="13834" max="13834" width="15.5546875" customWidth="1"/>
    <col min="13839" max="13839" width="28.6640625" customWidth="1"/>
    <col min="13842" max="13842" width="11" bestFit="1" customWidth="1"/>
    <col min="14089" max="14089" width="31.6640625" customWidth="1"/>
    <col min="14090" max="14090" width="15.5546875" customWidth="1"/>
    <col min="14095" max="14095" width="28.6640625" customWidth="1"/>
    <col min="14098" max="14098" width="11" bestFit="1" customWidth="1"/>
    <col min="14345" max="14345" width="31.6640625" customWidth="1"/>
    <col min="14346" max="14346" width="15.5546875" customWidth="1"/>
    <col min="14351" max="14351" width="28.6640625" customWidth="1"/>
    <col min="14354" max="14354" width="11" bestFit="1" customWidth="1"/>
    <col min="14601" max="14601" width="31.6640625" customWidth="1"/>
    <col min="14602" max="14602" width="15.5546875" customWidth="1"/>
    <col min="14607" max="14607" width="28.6640625" customWidth="1"/>
    <col min="14610" max="14610" width="11" bestFit="1" customWidth="1"/>
    <col min="14857" max="14857" width="31.6640625" customWidth="1"/>
    <col min="14858" max="14858" width="15.5546875" customWidth="1"/>
    <col min="14863" max="14863" width="28.6640625" customWidth="1"/>
    <col min="14866" max="14866" width="11" bestFit="1" customWidth="1"/>
    <col min="15113" max="15113" width="31.6640625" customWidth="1"/>
    <col min="15114" max="15114" width="15.5546875" customWidth="1"/>
    <col min="15119" max="15119" width="28.6640625" customWidth="1"/>
    <col min="15122" max="15122" width="11" bestFit="1" customWidth="1"/>
    <col min="15369" max="15369" width="31.6640625" customWidth="1"/>
    <col min="15370" max="15370" width="15.5546875" customWidth="1"/>
    <col min="15375" max="15375" width="28.6640625" customWidth="1"/>
    <col min="15378" max="15378" width="11" bestFit="1" customWidth="1"/>
    <col min="15625" max="15625" width="31.6640625" customWidth="1"/>
    <col min="15626" max="15626" width="15.5546875" customWidth="1"/>
    <col min="15631" max="15631" width="28.6640625" customWidth="1"/>
    <col min="15634" max="15634" width="11" bestFit="1" customWidth="1"/>
    <col min="15881" max="15881" width="31.6640625" customWidth="1"/>
    <col min="15882" max="15882" width="15.5546875" customWidth="1"/>
    <col min="15887" max="15887" width="28.6640625" customWidth="1"/>
    <col min="15890" max="15890" width="11" bestFit="1" customWidth="1"/>
    <col min="16137" max="16137" width="31.6640625" customWidth="1"/>
    <col min="16138" max="16138" width="15.5546875" customWidth="1"/>
    <col min="16143" max="16143" width="28.6640625" customWidth="1"/>
    <col min="16146" max="16146" width="11" bestFit="1" customWidth="1"/>
  </cols>
  <sheetData>
    <row r="1" spans="1:47" ht="15" thickBot="1"/>
    <row r="2" spans="1:47" ht="15" thickBot="1">
      <c r="E2" s="163"/>
      <c r="F2" s="596" t="s">
        <v>244</v>
      </c>
      <c r="G2" s="597"/>
      <c r="H2" s="597" t="s">
        <v>245</v>
      </c>
      <c r="I2" s="597"/>
      <c r="J2" s="597" t="s">
        <v>246</v>
      </c>
      <c r="K2" s="597"/>
      <c r="L2" s="597" t="s">
        <v>247</v>
      </c>
      <c r="M2" s="598"/>
      <c r="O2" s="204" t="s">
        <v>258</v>
      </c>
      <c r="P2" s="590" t="s">
        <v>273</v>
      </c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  <c r="AD2" s="591"/>
      <c r="AE2" s="592"/>
      <c r="AF2" s="590" t="s">
        <v>274</v>
      </c>
      <c r="AG2" s="591"/>
      <c r="AH2" s="591"/>
      <c r="AI2" s="591"/>
      <c r="AJ2" s="591"/>
      <c r="AK2" s="591"/>
      <c r="AL2" s="591"/>
      <c r="AM2" s="591"/>
      <c r="AN2" s="591"/>
      <c r="AO2" s="591"/>
      <c r="AP2" s="591"/>
      <c r="AQ2" s="591"/>
      <c r="AR2" s="591"/>
      <c r="AS2" s="591"/>
      <c r="AT2" s="591"/>
      <c r="AU2" s="592"/>
    </row>
    <row r="3" spans="1:47" ht="15" thickBot="1">
      <c r="E3" s="163"/>
      <c r="F3" s="221" t="s">
        <v>66</v>
      </c>
      <c r="G3" s="222" t="s">
        <v>249</v>
      </c>
      <c r="H3" s="222" t="s">
        <v>66</v>
      </c>
      <c r="I3" s="222" t="s">
        <v>249</v>
      </c>
      <c r="J3" s="222" t="s">
        <v>66</v>
      </c>
      <c r="K3" s="222" t="s">
        <v>249</v>
      </c>
      <c r="L3" s="222" t="s">
        <v>66</v>
      </c>
      <c r="M3" s="223" t="s">
        <v>249</v>
      </c>
      <c r="O3" s="205" t="s">
        <v>251</v>
      </c>
      <c r="P3" s="593" t="s">
        <v>276</v>
      </c>
      <c r="Q3" s="594"/>
      <c r="R3" s="594"/>
      <c r="S3" s="595"/>
      <c r="T3" s="593" t="s">
        <v>277</v>
      </c>
      <c r="U3" s="594"/>
      <c r="V3" s="594"/>
      <c r="W3" s="595"/>
      <c r="X3" s="593" t="s">
        <v>278</v>
      </c>
      <c r="Y3" s="594"/>
      <c r="Z3" s="594"/>
      <c r="AA3" s="595"/>
      <c r="AB3" s="593" t="s">
        <v>279</v>
      </c>
      <c r="AC3" s="594"/>
      <c r="AD3" s="594"/>
      <c r="AE3" s="595"/>
      <c r="AF3" s="593" t="s">
        <v>276</v>
      </c>
      <c r="AG3" s="594"/>
      <c r="AH3" s="594"/>
      <c r="AI3" s="595"/>
      <c r="AJ3" s="593" t="s">
        <v>277</v>
      </c>
      <c r="AK3" s="594"/>
      <c r="AL3" s="594"/>
      <c r="AM3" s="595"/>
      <c r="AN3" s="593" t="s">
        <v>278</v>
      </c>
      <c r="AO3" s="594"/>
      <c r="AP3" s="594"/>
      <c r="AQ3" s="595"/>
      <c r="AR3" s="593" t="s">
        <v>279</v>
      </c>
      <c r="AS3" s="594"/>
      <c r="AT3" s="594"/>
      <c r="AU3" s="595"/>
    </row>
    <row r="4" spans="1:47" ht="15" thickBot="1">
      <c r="A4" t="s">
        <v>248</v>
      </c>
      <c r="B4" s="163" t="e">
        <f>Задача_Расход</f>
        <v>#REF!</v>
      </c>
      <c r="D4" s="133">
        <v>1</v>
      </c>
      <c r="E4" s="133">
        <v>-40</v>
      </c>
      <c r="F4" s="220">
        <f>INDEX($R5:$AU19,$D4,1+VLOOKUP($B5,$B$351:$E$368,4,FALSE))</f>
        <v>9.2999999999999992E-3</v>
      </c>
      <c r="G4" s="220">
        <f>INDEX($R5:$AU19,$D4,2+VLOOKUP($B5,$B$351:$E$368,4,FALSE))</f>
        <v>6.29</v>
      </c>
      <c r="H4" s="220">
        <f>INDEX($R5:$AU19,$D4,5+VLOOKUP($B5,$B$351:$E$368,4,FALSE))</f>
        <v>1.04E-2</v>
      </c>
      <c r="I4" s="220">
        <f>INDEX($R5:$AU19,$D4,6+VLOOKUP($B5,$B$351:$E$368,4,FALSE))</f>
        <v>6.95</v>
      </c>
      <c r="J4" s="220">
        <f>INDEX($R5:$AU19,$D4,9+VLOOKUP($B5,$B$351:$E$368,4,FALSE))</f>
        <v>1.03E-2</v>
      </c>
      <c r="K4" s="220">
        <f>INDEX($R5:$AU19,$D4,10+VLOOKUP($B5,$B$351:$E$368,4,FALSE))</f>
        <v>7.09</v>
      </c>
      <c r="L4" s="220">
        <f>INDEX($R5:$AU19,$D4,13+VLOOKUP($B5,$B$351:$E$368,4,FALSE))</f>
        <v>1.01E-2</v>
      </c>
      <c r="M4" s="220">
        <f>INDEX($R5:$AU19,$D4,14+VLOOKUP($B5,$B$351:$E$368,4,FALSE))</f>
        <v>7.46</v>
      </c>
      <c r="O4" s="206" t="s">
        <v>248</v>
      </c>
      <c r="P4" s="207">
        <v>850</v>
      </c>
      <c r="Q4" s="208">
        <v>1150</v>
      </c>
      <c r="R4" s="208"/>
      <c r="S4" s="209"/>
      <c r="T4" s="207">
        <v>850</v>
      </c>
      <c r="U4" s="208">
        <v>1150</v>
      </c>
      <c r="V4" s="208"/>
      <c r="W4" s="209"/>
      <c r="X4" s="207">
        <v>850</v>
      </c>
      <c r="Y4" s="208">
        <v>1150</v>
      </c>
      <c r="Z4" s="208"/>
      <c r="AA4" s="209"/>
      <c r="AB4" s="207">
        <v>850</v>
      </c>
      <c r="AC4" s="208">
        <v>1150</v>
      </c>
      <c r="AD4" s="208"/>
      <c r="AE4" s="209"/>
      <c r="AF4" s="207">
        <v>850</v>
      </c>
      <c r="AG4" s="208">
        <v>1150</v>
      </c>
      <c r="AH4" s="208"/>
      <c r="AI4" s="209"/>
      <c r="AJ4" s="207">
        <v>850</v>
      </c>
      <c r="AK4" s="208">
        <v>1150</v>
      </c>
      <c r="AL4" s="208"/>
      <c r="AM4" s="209"/>
      <c r="AN4" s="207">
        <v>850</v>
      </c>
      <c r="AO4" s="208">
        <v>1150</v>
      </c>
      <c r="AP4" s="208"/>
      <c r="AQ4" s="209"/>
      <c r="AR4" s="207">
        <v>850</v>
      </c>
      <c r="AS4" s="208">
        <v>1150</v>
      </c>
      <c r="AT4" s="208"/>
      <c r="AU4" s="209"/>
    </row>
    <row r="5" spans="1:47">
      <c r="A5" t="s">
        <v>250</v>
      </c>
      <c r="B5" s="163" t="s">
        <v>259</v>
      </c>
      <c r="D5" s="133">
        <v>2</v>
      </c>
      <c r="E5" s="133">
        <v>-35</v>
      </c>
      <c r="F5" s="203">
        <f>INDEX($R5:$AU19,$D5,1+VLOOKUP($B5,$B$351:$E$368,4,FALSE))</f>
        <v>8.8000000000000005E-3</v>
      </c>
      <c r="G5" s="203">
        <f>INDEX($R5:$AU19,$D5,2+VLOOKUP($B5,$B$351:$E$368,4,FALSE))</f>
        <v>6.01</v>
      </c>
      <c r="H5" s="203">
        <f>INDEX($R5:$AU19,$D5,5+VLOOKUP($B5,$B$351:$E$368,4,FALSE))</f>
        <v>9.9000000000000008E-3</v>
      </c>
      <c r="I5" s="203">
        <f>INDEX($R5:$AU19,$D5,6+VLOOKUP($B5,$B$351:$E$368,4,FALSE))</f>
        <v>6.66</v>
      </c>
      <c r="J5" s="203">
        <f>INDEX($R5:$AU19,$D5,9+VLOOKUP($B5,$B$351:$E$368,4,FALSE))</f>
        <v>9.9000000000000008E-3</v>
      </c>
      <c r="K5" s="203">
        <f>INDEX($R5:$AU19,$D5,10+VLOOKUP($B5,$B$351:$E$368,4,FALSE))</f>
        <v>6.71</v>
      </c>
      <c r="L5" s="203">
        <f>INDEX($R5:$AU19,$D5,13+VLOOKUP($B5,$B$351:$E$368,4,FALSE))</f>
        <v>9.5999999999999992E-3</v>
      </c>
      <c r="M5" s="203">
        <f>INDEX($R5:$AU19,$D5,14+VLOOKUP($B5,$B$351:$E$368,4,FALSE))</f>
        <v>7.17</v>
      </c>
      <c r="O5" s="210">
        <v>-40</v>
      </c>
      <c r="P5" s="211">
        <v>14.199696969696999</v>
      </c>
      <c r="Q5" s="212">
        <v>16.9910909090909</v>
      </c>
      <c r="R5" s="203">
        <f>ROUND((Q5-P5)/(Q4-P4),4)</f>
        <v>9.2999999999999992E-3</v>
      </c>
      <c r="S5" s="217">
        <f>ROUND(P5-P4*R5,2)</f>
        <v>6.29</v>
      </c>
      <c r="T5" s="211">
        <v>15.785696969697</v>
      </c>
      <c r="U5" s="212">
        <v>18.908121212121198</v>
      </c>
      <c r="V5" s="203">
        <f>ROUND((U5-T5)/(U4-T4),4)</f>
        <v>1.04E-2</v>
      </c>
      <c r="W5" s="217">
        <f>ROUND(T5-T4*V5,2)</f>
        <v>6.95</v>
      </c>
      <c r="X5" s="211">
        <v>15.843939393939401</v>
      </c>
      <c r="Y5" s="212">
        <v>18.947636363636398</v>
      </c>
      <c r="Z5" s="203">
        <f>ROUND((Y5-X5)/(Y4-X4),4)</f>
        <v>1.03E-2</v>
      </c>
      <c r="AA5" s="217">
        <f>ROUND(X5-X4*Z5,2)</f>
        <v>7.09</v>
      </c>
      <c r="AB5" s="211">
        <v>16.043757575757599</v>
      </c>
      <c r="AC5" s="212">
        <v>19.0787878787879</v>
      </c>
      <c r="AD5" s="203">
        <f>ROUND((AC5-AB5)/(AC4-AB4),4)</f>
        <v>1.01E-2</v>
      </c>
      <c r="AE5" s="217">
        <f>ROUND(AB5-AB4*AD5,2)</f>
        <v>7.46</v>
      </c>
      <c r="AF5" s="213">
        <v>19.374545454545501</v>
      </c>
      <c r="AG5" s="214">
        <v>23.635151515151499</v>
      </c>
      <c r="AH5" s="203">
        <f>ROUND((AG5-AF5)/(AG4-AF4),4)</f>
        <v>1.4200000000000001E-2</v>
      </c>
      <c r="AI5" s="217">
        <f>ROUND(AF5-AF4*AH5,2)</f>
        <v>7.3</v>
      </c>
      <c r="AJ5" s="211">
        <v>21.3369696969697</v>
      </c>
      <c r="AK5" s="212">
        <v>26.093333333333302</v>
      </c>
      <c r="AL5" s="203">
        <f>ROUND((AK5-AJ5)/(AK4-AJ4),4)</f>
        <v>1.5900000000000001E-2</v>
      </c>
      <c r="AM5" s="217">
        <f>ROUND(AJ5-AJ4*AL5,2)</f>
        <v>7.82</v>
      </c>
      <c r="AN5" s="211">
        <v>21.592727272727299</v>
      </c>
      <c r="AO5" s="212">
        <v>26.339393939394</v>
      </c>
      <c r="AP5" s="203">
        <f>ROUND((AO5-AN5)/(AO4-AN4),4)</f>
        <v>1.5800000000000002E-2</v>
      </c>
      <c r="AQ5" s="217">
        <f>ROUND(AN5-AN4*AP5,2)</f>
        <v>8.16</v>
      </c>
      <c r="AR5" s="211">
        <v>22.409696969696999</v>
      </c>
      <c r="AS5" s="212">
        <v>27.244242424242401</v>
      </c>
      <c r="AT5" s="203">
        <f>ROUND((AS5-AR5)/(AS4-AR4),4)</f>
        <v>1.61E-2</v>
      </c>
      <c r="AU5" s="217">
        <f>ROUND(AR5-AR4*AT5,2)</f>
        <v>8.7200000000000006</v>
      </c>
    </row>
    <row r="6" spans="1:47">
      <c r="A6" t="s">
        <v>251</v>
      </c>
      <c r="B6" s="163" t="e">
        <f>Задача_НагревательТеплоноситель</f>
        <v>#REF!</v>
      </c>
      <c r="D6" s="133">
        <v>3</v>
      </c>
      <c r="E6" s="133">
        <v>-30</v>
      </c>
      <c r="F6" s="203">
        <f>INDEX($R5:$AU19,$D6,1+VLOOKUP($B5,$B$351:$E$368,4,FALSE))</f>
        <v>8.3000000000000001E-3</v>
      </c>
      <c r="G6" s="203">
        <f>INDEX($R5:$AU19,$D6,2+VLOOKUP($B5,$B$351:$E$368,4,FALSE))</f>
        <v>5.75</v>
      </c>
      <c r="H6" s="203">
        <f>INDEX($R5:$AU19,$D6,5+VLOOKUP($B5,$B$351:$E$368,4,FALSE))</f>
        <v>9.2999999999999992E-3</v>
      </c>
      <c r="I6" s="203">
        <f>INDEX($R5:$AU19,$D6,6+VLOOKUP($B5,$B$351:$E$368,4,FALSE))</f>
        <v>6.5</v>
      </c>
      <c r="J6" s="203">
        <f>INDEX($R5:$AU19,$D6,9+VLOOKUP($B5,$B$351:$E$368,4,FALSE))</f>
        <v>9.2999999999999992E-3</v>
      </c>
      <c r="K6" s="203">
        <f>INDEX($R5:$AU19,$D6,10+VLOOKUP($B5,$B$351:$E$368,4,FALSE))</f>
        <v>6.5</v>
      </c>
      <c r="L6" s="203">
        <f>INDEX($R5:$AU19,$D6,13+VLOOKUP($B5,$B$351:$E$368,4,FALSE))</f>
        <v>9.2999999999999992E-3</v>
      </c>
      <c r="M6" s="203">
        <f>INDEX($R5:$AU19,$D6,14+VLOOKUP($B5,$B$351:$E$368,4,FALSE))</f>
        <v>6.7</v>
      </c>
      <c r="O6" s="215">
        <v>-35</v>
      </c>
      <c r="P6" s="211">
        <v>13.4866666666667</v>
      </c>
      <c r="Q6" s="212">
        <v>16.134</v>
      </c>
      <c r="R6" s="203">
        <f>ROUND((Q6-P6)/(Q4-P4),4)</f>
        <v>8.8000000000000005E-3</v>
      </c>
      <c r="S6" s="217">
        <f>ROUND(P6-P4*R6,2)</f>
        <v>6.01</v>
      </c>
      <c r="T6" s="211">
        <v>15.0706666666667</v>
      </c>
      <c r="U6" s="212">
        <v>18.047333333333299</v>
      </c>
      <c r="V6" s="203">
        <f>ROUND((U6-T6)/(U4-T4),4)</f>
        <v>9.9000000000000008E-3</v>
      </c>
      <c r="W6" s="217">
        <f>ROUND(T6-T4*V6,2)</f>
        <v>6.66</v>
      </c>
      <c r="X6" s="211">
        <v>15.127333333333301</v>
      </c>
      <c r="Y6" s="212">
        <v>18.085999999999999</v>
      </c>
      <c r="Z6" s="203">
        <f>ROUND((Y6-X6)/(Y4-X4),4)</f>
        <v>9.9000000000000008E-3</v>
      </c>
      <c r="AA6" s="217">
        <f>ROUND(X6-X4*Z6,2)</f>
        <v>6.71</v>
      </c>
      <c r="AB6" s="211">
        <v>15.3333333333333</v>
      </c>
      <c r="AC6" s="212">
        <v>18.226666666666699</v>
      </c>
      <c r="AD6" s="203">
        <f>ROUND((AC6-AB6)/(AC4-AB4),4)</f>
        <v>9.5999999999999992E-3</v>
      </c>
      <c r="AE6" s="217">
        <f>ROUND(AB6-AB4*AD6,2)</f>
        <v>7.17</v>
      </c>
      <c r="AF6" s="213">
        <v>18.440000000000001</v>
      </c>
      <c r="AG6" s="214">
        <v>22.4866666666667</v>
      </c>
      <c r="AH6" s="203">
        <f>ROUND((AG6-AF6)/(AG4-AF4),4)</f>
        <v>1.35E-2</v>
      </c>
      <c r="AI6" s="217">
        <f>ROUND(AF6-AF4*AH6,2)</f>
        <v>6.97</v>
      </c>
      <c r="AJ6" s="211">
        <v>20.406666666666698</v>
      </c>
      <c r="AK6" s="212">
        <v>24.946666666666701</v>
      </c>
      <c r="AL6" s="203">
        <f>ROUND((AK6-AJ6)/(AK4-AJ4),4)</f>
        <v>1.5100000000000001E-2</v>
      </c>
      <c r="AM6" s="217">
        <f>ROUND(AJ6-AJ4*AL6,2)</f>
        <v>7.57</v>
      </c>
      <c r="AN6" s="211">
        <v>20.66</v>
      </c>
      <c r="AO6" s="212">
        <v>25.1933333333333</v>
      </c>
      <c r="AP6" s="203">
        <f>ROUND((AO6-AN6)/(AO4-AN4),4)</f>
        <v>1.5100000000000001E-2</v>
      </c>
      <c r="AQ6" s="217">
        <f>ROUND(AN6-AN4*AP6,2)</f>
        <v>7.83</v>
      </c>
      <c r="AR6" s="211">
        <v>21.466666666666701</v>
      </c>
      <c r="AS6" s="212">
        <v>26.086666666666702</v>
      </c>
      <c r="AT6" s="203">
        <f>ROUND((AS6-AR6)/(AS4-AR4),4)</f>
        <v>1.54E-2</v>
      </c>
      <c r="AU6" s="217">
        <f>ROUND(AR6-AR4*AT6,2)</f>
        <v>8.3800000000000008</v>
      </c>
    </row>
    <row r="7" spans="1:47">
      <c r="A7" t="s">
        <v>253</v>
      </c>
      <c r="B7" s="163" t="e">
        <f>VLOOKUP("400x200",ПП_Расчет!C$10:F$19,4,0)</f>
        <v>#REF!</v>
      </c>
      <c r="D7" s="133">
        <v>4</v>
      </c>
      <c r="E7" s="133">
        <v>-25</v>
      </c>
      <c r="F7" s="203">
        <f>INDEX($R5:$AU19,$D7,1+VLOOKUP($B5,$B$351:$E$368,4,FALSE))</f>
        <v>7.7000000000000002E-3</v>
      </c>
      <c r="G7" s="203">
        <f>INDEX($R5:$AU19,$D7,2+VLOOKUP($B5,$B$351:$E$368,4,FALSE))</f>
        <v>5.56</v>
      </c>
      <c r="H7" s="203">
        <f>INDEX($R5:$AU19,$D7,5+VLOOKUP($B5,$B$351:$E$368,4,FALSE))</f>
        <v>8.9999999999999993E-3</v>
      </c>
      <c r="I7" s="203">
        <f>INDEX($R5:$AU19,$D7,6+VLOOKUP($B5,$B$351:$E$368,4,FALSE))</f>
        <v>5.95</v>
      </c>
      <c r="J7" s="203">
        <f>INDEX($R5:$AU19,$D7,9+VLOOKUP($B5,$B$351:$E$368,4,FALSE))</f>
        <v>8.9999999999999993E-3</v>
      </c>
      <c r="K7" s="203">
        <f>INDEX($R5:$AU19,$D7,10+VLOOKUP($B5,$B$351:$E$368,4,FALSE))</f>
        <v>6.05</v>
      </c>
      <c r="L7" s="203">
        <f>INDEX($R5:$AU19,$D7,13+VLOOKUP($B5,$B$351:$E$368,4,FALSE))</f>
        <v>8.9999999999999993E-3</v>
      </c>
      <c r="M7" s="203">
        <f>INDEX($R5:$AU19,$D7,14+VLOOKUP($B5,$B$351:$E$368,4,FALSE))</f>
        <v>6.25</v>
      </c>
      <c r="O7" s="215">
        <v>-30</v>
      </c>
      <c r="P7" s="211">
        <v>12.8</v>
      </c>
      <c r="Q7" s="212">
        <v>15.3</v>
      </c>
      <c r="R7" s="203">
        <f>ROUND((Q7-P7)/(Q4-P4),4)</f>
        <v>8.3000000000000001E-3</v>
      </c>
      <c r="S7" s="217">
        <f>ROUND(P7-P4*R7,2)</f>
        <v>5.75</v>
      </c>
      <c r="T7" s="211">
        <v>14.4</v>
      </c>
      <c r="U7" s="212">
        <v>17.2</v>
      </c>
      <c r="V7" s="203">
        <f>ROUND((U7-T7)/(U4-T4),4)</f>
        <v>9.2999999999999992E-3</v>
      </c>
      <c r="W7" s="217">
        <f>ROUND(T7-T4*V7,2)</f>
        <v>6.5</v>
      </c>
      <c r="X7" s="211">
        <v>14.4</v>
      </c>
      <c r="Y7" s="212">
        <v>17.2</v>
      </c>
      <c r="Z7" s="203">
        <f>ROUND((Y7-X7)/(Y4-X4),4)</f>
        <v>9.2999999999999992E-3</v>
      </c>
      <c r="AA7" s="217">
        <f>ROUND(X7-X4*Z7,2)</f>
        <v>6.5</v>
      </c>
      <c r="AB7" s="211">
        <v>14.6</v>
      </c>
      <c r="AC7" s="212">
        <v>17.399999999999999</v>
      </c>
      <c r="AD7" s="203">
        <f>ROUND((AC7-AB7)/(AC4-AB4),4)</f>
        <v>9.2999999999999992E-3</v>
      </c>
      <c r="AE7" s="217">
        <f>ROUND(AB7-AB4*AD7,2)</f>
        <v>6.7</v>
      </c>
      <c r="AF7" s="213">
        <v>17.5</v>
      </c>
      <c r="AG7" s="214">
        <v>21.3</v>
      </c>
      <c r="AH7" s="203">
        <f>ROUND((AG7-AF7)/(AG4-AF4),4)</f>
        <v>1.2699999999999999E-2</v>
      </c>
      <c r="AI7" s="217">
        <f>ROUND(AF7-AF4*AH7,2)</f>
        <v>6.71</v>
      </c>
      <c r="AJ7" s="211">
        <v>19.5</v>
      </c>
      <c r="AK7" s="212">
        <v>23.8</v>
      </c>
      <c r="AL7" s="203">
        <f>ROUND((AK7-AJ7)/(AK4-AJ4),4)</f>
        <v>1.43E-2</v>
      </c>
      <c r="AM7" s="217">
        <f>ROUND(AJ7-AJ4*AL7,2)</f>
        <v>7.35</v>
      </c>
      <c r="AN7" s="211">
        <v>19.7</v>
      </c>
      <c r="AO7" s="212">
        <v>24</v>
      </c>
      <c r="AP7" s="203">
        <f>ROUND((AO7-AN7)/(AO4-AN4),4)</f>
        <v>1.43E-2</v>
      </c>
      <c r="AQ7" s="217">
        <f>ROUND(AN7-AN4*AP7,2)</f>
        <v>7.55</v>
      </c>
      <c r="AR7" s="211">
        <v>20.5</v>
      </c>
      <c r="AS7" s="212">
        <v>24.9</v>
      </c>
      <c r="AT7" s="203">
        <f>ROUND((AS7-AR7)/(AS4-AR4),4)</f>
        <v>1.47E-2</v>
      </c>
      <c r="AU7" s="217">
        <f>ROUND(AR7-AR4*AT7,2)</f>
        <v>8.01</v>
      </c>
    </row>
    <row r="8" spans="1:47">
      <c r="D8" s="133">
        <v>5</v>
      </c>
      <c r="E8" s="133">
        <v>-20</v>
      </c>
      <c r="F8" s="203">
        <f>INDEX($R5:$AU19,$D8,1+VLOOKUP($B5,$B$351:$E$368,4,FALSE))</f>
        <v>7.7000000000000002E-3</v>
      </c>
      <c r="G8" s="203">
        <f>INDEX($R5:$AU19,$D8,2+VLOOKUP($B5,$B$351:$E$368,4,FALSE))</f>
        <v>4.76</v>
      </c>
      <c r="H8" s="203">
        <f>INDEX($R5:$AU19,$D8,5+VLOOKUP($B5,$B$351:$E$368,4,FALSE))</f>
        <v>8.6999999999999994E-3</v>
      </c>
      <c r="I8" s="203">
        <f>INDEX($R5:$AU19,$D8,6+VLOOKUP($B5,$B$351:$E$368,4,FALSE))</f>
        <v>5.51</v>
      </c>
      <c r="J8" s="203">
        <f>INDEX($R5:$AU19,$D8,9+VLOOKUP($B5,$B$351:$E$368,4,FALSE))</f>
        <v>8.3000000000000001E-3</v>
      </c>
      <c r="K8" s="203">
        <f>INDEX($R5:$AU19,$D8,10+VLOOKUP($B5,$B$351:$E$368,4,FALSE))</f>
        <v>5.95</v>
      </c>
      <c r="L8" s="203">
        <f>INDEX($R5:$AU19,$D8,13+VLOOKUP($B5,$B$351:$E$368,4,FALSE))</f>
        <v>8.3000000000000001E-3</v>
      </c>
      <c r="M8" s="203">
        <f>INDEX($R5:$AU19,$D8,14+VLOOKUP($B5,$B$351:$E$368,4,FALSE))</f>
        <v>6.15</v>
      </c>
      <c r="O8" s="215">
        <v>-25</v>
      </c>
      <c r="P8" s="211">
        <v>12.1</v>
      </c>
      <c r="Q8" s="212">
        <v>14.4</v>
      </c>
      <c r="R8" s="203">
        <f>ROUND((Q8-P8)/(Q4-P4),4)</f>
        <v>7.7000000000000002E-3</v>
      </c>
      <c r="S8" s="217">
        <f>ROUND(P8-P4*R8,2)</f>
        <v>5.56</v>
      </c>
      <c r="T8" s="211">
        <v>13.6</v>
      </c>
      <c r="U8" s="212">
        <v>16.3</v>
      </c>
      <c r="V8" s="203">
        <f>ROUND((U8-T8)/(U4-T4),4)</f>
        <v>8.9999999999999993E-3</v>
      </c>
      <c r="W8" s="217">
        <f>ROUND(T8-T4*V8,2)</f>
        <v>5.95</v>
      </c>
      <c r="X8" s="211">
        <v>13.7</v>
      </c>
      <c r="Y8" s="212">
        <v>16.399999999999999</v>
      </c>
      <c r="Z8" s="203">
        <f>ROUND((Y8-X8)/(Y4-X4),4)</f>
        <v>8.9999999999999993E-3</v>
      </c>
      <c r="AA8" s="217">
        <f>ROUND(X8-X4*Z8,2)</f>
        <v>6.05</v>
      </c>
      <c r="AB8" s="211">
        <v>13.9</v>
      </c>
      <c r="AC8" s="212">
        <v>16.600000000000001</v>
      </c>
      <c r="AD8" s="203">
        <f>ROUND((AC8-AB8)/(AC4-AB4),4)</f>
        <v>8.9999999999999993E-3</v>
      </c>
      <c r="AE8" s="217">
        <f>ROUND(AB8-AB4*AD8,2)</f>
        <v>6.25</v>
      </c>
      <c r="AF8" s="213">
        <v>16.600000000000001</v>
      </c>
      <c r="AG8" s="214">
        <v>20.3</v>
      </c>
      <c r="AH8" s="203">
        <f>ROUND((AG8-AF8)/(AG4-AF4),4)</f>
        <v>1.23E-2</v>
      </c>
      <c r="AI8" s="217">
        <f>ROUND(AF8-AF4*AH8,2)</f>
        <v>6.15</v>
      </c>
      <c r="AJ8" s="211">
        <v>18.5</v>
      </c>
      <c r="AK8" s="212">
        <v>22.6</v>
      </c>
      <c r="AL8" s="203">
        <f>ROUND((AK8-AJ8)/(AK4-AJ4),4)</f>
        <v>1.37E-2</v>
      </c>
      <c r="AM8" s="217">
        <f>ROUND(AJ8-AJ4*AL8,2)</f>
        <v>6.86</v>
      </c>
      <c r="AN8" s="211">
        <v>18.8</v>
      </c>
      <c r="AO8" s="212">
        <v>22.9</v>
      </c>
      <c r="AP8" s="203">
        <f>ROUND((AO8-AN8)/(AO4-AN4),4)</f>
        <v>1.37E-2</v>
      </c>
      <c r="AQ8" s="217">
        <f>ROUND(AN8-AN4*AP8,2)</f>
        <v>7.16</v>
      </c>
      <c r="AR8" s="211">
        <v>19.600000000000001</v>
      </c>
      <c r="AS8" s="212">
        <v>23.8</v>
      </c>
      <c r="AT8" s="203">
        <f>ROUND((AS8-AR8)/(AS4-AR4),4)</f>
        <v>1.4E-2</v>
      </c>
      <c r="AU8" s="217">
        <f>ROUND(AR8-AR4*AT8,2)</f>
        <v>7.7</v>
      </c>
    </row>
    <row r="9" spans="1:47">
      <c r="A9" t="s">
        <v>66</v>
      </c>
      <c r="B9" s="163" t="e">
        <f>VLOOKUP(B7,E4:M18,VLOOKUP(B6,B$345:D$348,2,FALSE))</f>
        <v>#REF!</v>
      </c>
      <c r="D9" s="133">
        <v>6</v>
      </c>
      <c r="E9" s="133">
        <v>-15</v>
      </c>
      <c r="F9" s="203">
        <f>INDEX($R5:$AU19,$D9,1+VLOOKUP($B5,$B$351:$E$368,4,FALSE))</f>
        <v>7.0000000000000001E-3</v>
      </c>
      <c r="G9" s="203">
        <f>INDEX($R5:$AU19,$D9,2+VLOOKUP($B5,$B$351:$E$368,4,FALSE))</f>
        <v>4.6500000000000004</v>
      </c>
      <c r="H9" s="203">
        <f>INDEX($R5:$AU19,$D9,5+VLOOKUP($B5,$B$351:$E$368,4,FALSE))</f>
        <v>8.0000000000000002E-3</v>
      </c>
      <c r="I9" s="203">
        <f>INDEX($R5:$AU19,$D9,6+VLOOKUP($B5,$B$351:$E$368,4,FALSE))</f>
        <v>5.4</v>
      </c>
      <c r="J9" s="203">
        <f>INDEX($R5:$AU19,$D9,9+VLOOKUP($B5,$B$351:$E$368,4,FALSE))</f>
        <v>7.7000000000000002E-3</v>
      </c>
      <c r="K9" s="203">
        <f>INDEX($R5:$AU19,$D9,10+VLOOKUP($B5,$B$351:$E$368,4,FALSE))</f>
        <v>5.76</v>
      </c>
      <c r="L9" s="203">
        <f>INDEX($R5:$AU19,$D9,13+VLOOKUP($B5,$B$351:$E$368,4,FALSE))</f>
        <v>7.0000000000000001E-3</v>
      </c>
      <c r="M9" s="203">
        <f>INDEX($R5:$AU19,$D9,14+VLOOKUP($B5,$B$351:$E$368,4,FALSE))</f>
        <v>6.55</v>
      </c>
      <c r="O9" s="215">
        <v>-20</v>
      </c>
      <c r="P9" s="211">
        <v>11.3</v>
      </c>
      <c r="Q9" s="212">
        <v>13.6</v>
      </c>
      <c r="R9" s="203">
        <f>ROUND((Q9-P9)/(Q4-P4),4)</f>
        <v>7.7000000000000002E-3</v>
      </c>
      <c r="S9" s="217">
        <f>ROUND(P9-P4*R9,2)</f>
        <v>4.76</v>
      </c>
      <c r="T9" s="211">
        <v>12.9</v>
      </c>
      <c r="U9" s="212">
        <v>15.5</v>
      </c>
      <c r="V9" s="203">
        <f>ROUND((U9-T9)/(U4-T4),4)</f>
        <v>8.6999999999999994E-3</v>
      </c>
      <c r="W9" s="217">
        <f>ROUND(T9-T4*V9,2)</f>
        <v>5.51</v>
      </c>
      <c r="X9" s="211">
        <v>13</v>
      </c>
      <c r="Y9" s="212">
        <v>15.5</v>
      </c>
      <c r="Z9" s="203">
        <f>ROUND((Y9-X9)/(Y4-X4),4)</f>
        <v>8.3000000000000001E-3</v>
      </c>
      <c r="AA9" s="217">
        <f>ROUND(X9-X4*Z9,2)</f>
        <v>5.95</v>
      </c>
      <c r="AB9" s="211">
        <v>13.2</v>
      </c>
      <c r="AC9" s="212">
        <v>15.7</v>
      </c>
      <c r="AD9" s="203">
        <f>ROUND((AC9-AB9)/(AC4-AB4),4)</f>
        <v>8.3000000000000001E-3</v>
      </c>
      <c r="AE9" s="217">
        <f>ROUND(AB9-AB4*AD9,2)</f>
        <v>6.15</v>
      </c>
      <c r="AF9" s="213">
        <v>15.6</v>
      </c>
      <c r="AG9" s="214">
        <v>19</v>
      </c>
      <c r="AH9" s="203">
        <f>ROUND((AG9-AF9)/(AG4-AF4),4)</f>
        <v>1.1299999999999999E-2</v>
      </c>
      <c r="AI9" s="217">
        <f>ROUND(AF9-AF4*AH9,2)</f>
        <v>6</v>
      </c>
      <c r="AJ9" s="211">
        <v>17.600000000000001</v>
      </c>
      <c r="AK9" s="212">
        <v>21.6</v>
      </c>
      <c r="AL9" s="203">
        <f>ROUND((AK9-AJ9)/(AK4-AJ4),4)</f>
        <v>1.3299999999999999E-2</v>
      </c>
      <c r="AM9" s="217">
        <f>ROUND(AJ9-AJ4*AL9,2)</f>
        <v>6.3</v>
      </c>
      <c r="AN9" s="211">
        <v>17.899999999999999</v>
      </c>
      <c r="AO9" s="212">
        <v>21.8</v>
      </c>
      <c r="AP9" s="203">
        <f>ROUND((AO9-AN9)/(AO4-AN4),4)</f>
        <v>1.2999999999999999E-2</v>
      </c>
      <c r="AQ9" s="217">
        <f>ROUND(AN9-AN4*AP9,2)</f>
        <v>6.85</v>
      </c>
      <c r="AR9" s="211">
        <v>18.600000000000001</v>
      </c>
      <c r="AS9" s="212">
        <v>22.6</v>
      </c>
      <c r="AT9" s="203">
        <f>ROUND((AS9-AR9)/(AS4-AR4),4)</f>
        <v>1.3299999999999999E-2</v>
      </c>
      <c r="AU9" s="217">
        <f>ROUND(AR9-AR4*AT9,2)</f>
        <v>7.3</v>
      </c>
    </row>
    <row r="10" spans="1:47">
      <c r="A10" t="s">
        <v>249</v>
      </c>
      <c r="B10" s="163" t="e">
        <f>VLOOKUP(B7,E4:M18,VLOOKUP(B6,B$345:D$348,3,FALSE))</f>
        <v>#REF!</v>
      </c>
      <c r="D10" s="133">
        <v>7</v>
      </c>
      <c r="E10" s="133">
        <v>-10</v>
      </c>
      <c r="F10" s="203">
        <f>INDEX($R5:$AU19,$D10,1+VLOOKUP($B5,$B$351:$E$368,4,FALSE))</f>
        <v>6.3E-3</v>
      </c>
      <c r="G10" s="203">
        <f>INDEX($R5:$AU19,$D10,2+VLOOKUP($B5,$B$351:$E$368,4,FALSE))</f>
        <v>4.57</v>
      </c>
      <c r="H10" s="203">
        <f>INDEX($R5:$AU19,$D10,5+VLOOKUP($B5,$B$351:$E$368,4,FALSE))</f>
        <v>7.3000000000000001E-3</v>
      </c>
      <c r="I10" s="203">
        <f>INDEX($R5:$AU19,$D10,6+VLOOKUP($B5,$B$351:$E$368,4,FALSE))</f>
        <v>5.3</v>
      </c>
      <c r="J10" s="203">
        <f>INDEX($R5:$AU19,$D10,9+VLOOKUP($B5,$B$351:$E$368,4,FALSE))</f>
        <v>7.7000000000000002E-3</v>
      </c>
      <c r="K10" s="203">
        <f>INDEX($R5:$AU19,$D10,10+VLOOKUP($B5,$B$351:$E$368,4,FALSE))</f>
        <v>4.96</v>
      </c>
      <c r="L10" s="203">
        <f>INDEX($R5:$AU19,$D10,13+VLOOKUP($B5,$B$351:$E$368,4,FALSE))</f>
        <v>7.3000000000000001E-3</v>
      </c>
      <c r="M10" s="203">
        <f>INDEX($R5:$AU19,$D10,14+VLOOKUP($B5,$B$351:$E$368,4,FALSE))</f>
        <v>5.6</v>
      </c>
      <c r="O10" s="215">
        <v>-15</v>
      </c>
      <c r="P10" s="211">
        <v>10.6</v>
      </c>
      <c r="Q10" s="212">
        <v>12.7</v>
      </c>
      <c r="R10" s="203">
        <f>ROUND((Q10-P10)/(Q4-P4),4)</f>
        <v>7.0000000000000001E-3</v>
      </c>
      <c r="S10" s="217">
        <f>ROUND(P10-P4*R10,2)</f>
        <v>4.6500000000000004</v>
      </c>
      <c r="T10" s="211">
        <v>12.2</v>
      </c>
      <c r="U10" s="212">
        <v>14.6</v>
      </c>
      <c r="V10" s="203">
        <f>ROUND((U10-T10)/(U4-T4),4)</f>
        <v>8.0000000000000002E-3</v>
      </c>
      <c r="W10" s="217">
        <f>ROUND(T10-T4*V10,2)</f>
        <v>5.4</v>
      </c>
      <c r="X10" s="211">
        <v>12.3</v>
      </c>
      <c r="Y10" s="212">
        <v>14.6</v>
      </c>
      <c r="Z10" s="203">
        <f>ROUND((Y10-X10)/(Y4-X4),4)</f>
        <v>7.7000000000000002E-3</v>
      </c>
      <c r="AA10" s="217">
        <f>ROUND(X10-X4*Z10,2)</f>
        <v>5.76</v>
      </c>
      <c r="AB10" s="211">
        <v>12.5</v>
      </c>
      <c r="AC10" s="212">
        <v>14.6</v>
      </c>
      <c r="AD10" s="203">
        <f>ROUND((AC10-AB10)/(AC4-AB4),4)</f>
        <v>7.0000000000000001E-3</v>
      </c>
      <c r="AE10" s="217">
        <f>ROUND(AB10-AB4*AD10,2)</f>
        <v>6.55</v>
      </c>
      <c r="AF10" s="213">
        <v>14.7</v>
      </c>
      <c r="AG10" s="214">
        <v>17.899999999999999</v>
      </c>
      <c r="AH10" s="203">
        <f>ROUND((AG10-AF10)/(AG4-AF4),4)</f>
        <v>1.0699999999999999E-2</v>
      </c>
      <c r="AI10" s="217">
        <f>ROUND(AF10-AF4*AH10,2)</f>
        <v>5.61</v>
      </c>
      <c r="AJ10" s="211">
        <v>16.7</v>
      </c>
      <c r="AK10" s="212">
        <v>20.3</v>
      </c>
      <c r="AL10" s="203">
        <f>ROUND((AK10-AJ10)/(AK4-AJ4),4)</f>
        <v>1.2E-2</v>
      </c>
      <c r="AM10" s="217">
        <f>ROUND(AJ10-AJ4*AL10,2)</f>
        <v>6.5</v>
      </c>
      <c r="AN10" s="211">
        <v>16.899999999999999</v>
      </c>
      <c r="AO10" s="212">
        <v>20.6</v>
      </c>
      <c r="AP10" s="203">
        <f>ROUND((AO10-AN10)/(AO4-AN4),4)</f>
        <v>1.23E-2</v>
      </c>
      <c r="AQ10" s="217">
        <f>ROUND(AN10-AN4*AP10,2)</f>
        <v>6.45</v>
      </c>
      <c r="AR10" s="211">
        <v>17.7</v>
      </c>
      <c r="AS10" s="212">
        <v>21.5</v>
      </c>
      <c r="AT10" s="203">
        <f>ROUND((AS10-AR10)/(AS4-AR4),4)</f>
        <v>1.2699999999999999E-2</v>
      </c>
      <c r="AU10" s="217">
        <f>ROUND(AR10-AR4*AT10,2)</f>
        <v>6.91</v>
      </c>
    </row>
    <row r="11" spans="1:47">
      <c r="D11" s="133">
        <v>8</v>
      </c>
      <c r="E11" s="133">
        <v>-5</v>
      </c>
      <c r="F11" s="203">
        <f>INDEX($R5:$AU19,$D11,1+VLOOKUP($B5,$B$351:$E$368,4,FALSE))</f>
        <v>6.0000000000000001E-3</v>
      </c>
      <c r="G11" s="203">
        <f>INDEX($R5:$AU19,$D11,2+VLOOKUP($B5,$B$351:$E$368,4,FALSE))</f>
        <v>4.0999999999999996</v>
      </c>
      <c r="H11" s="203">
        <f>INDEX($R5:$AU19,$D11,5+VLOOKUP($B5,$B$351:$E$368,4,FALSE))</f>
        <v>7.0000000000000001E-3</v>
      </c>
      <c r="I11" s="203">
        <f>INDEX($R5:$AU19,$D11,6+VLOOKUP($B5,$B$351:$E$368,4,FALSE))</f>
        <v>4.8499999999999996</v>
      </c>
      <c r="J11" s="203">
        <f>INDEX($R5:$AU19,$D11,9+VLOOKUP($B5,$B$351:$E$368,4,FALSE))</f>
        <v>7.0000000000000001E-3</v>
      </c>
      <c r="K11" s="203">
        <f>INDEX($R5:$AU19,$D11,10+VLOOKUP($B5,$B$351:$E$368,4,FALSE))</f>
        <v>4.8499999999999996</v>
      </c>
      <c r="L11" s="203">
        <f>INDEX($R5:$AU19,$D11,13+VLOOKUP($B5,$B$351:$E$368,4,FALSE))</f>
        <v>6.7000000000000002E-3</v>
      </c>
      <c r="M11" s="203">
        <f>INDEX($R5:$AU19,$D11,14+VLOOKUP($B5,$B$351:$E$368,4,FALSE))</f>
        <v>5.41</v>
      </c>
      <c r="O11" s="215">
        <v>-10</v>
      </c>
      <c r="P11" s="211">
        <v>9.92</v>
      </c>
      <c r="Q11" s="212">
        <v>11.8</v>
      </c>
      <c r="R11" s="203">
        <f>ROUND((Q11-P11)/(Q4-P4),4)</f>
        <v>6.3E-3</v>
      </c>
      <c r="S11" s="217">
        <f>ROUND(P11-P4*R11,2)</f>
        <v>4.57</v>
      </c>
      <c r="T11" s="211">
        <v>11.5</v>
      </c>
      <c r="U11" s="212">
        <v>13.7</v>
      </c>
      <c r="V11" s="203">
        <f>ROUND((U11-T11)/(U4-T4),4)</f>
        <v>7.3000000000000001E-3</v>
      </c>
      <c r="W11" s="217">
        <f>ROUND(T11-T4*V11,2)</f>
        <v>5.3</v>
      </c>
      <c r="X11" s="211">
        <v>11.5</v>
      </c>
      <c r="Y11" s="212">
        <v>13.8</v>
      </c>
      <c r="Z11" s="203">
        <f>ROUND((Y11-X11)/(Y4-X4),4)</f>
        <v>7.7000000000000002E-3</v>
      </c>
      <c r="AA11" s="217">
        <f>ROUND(X11-X4*Z11,2)</f>
        <v>4.96</v>
      </c>
      <c r="AB11" s="211">
        <v>11.8</v>
      </c>
      <c r="AC11" s="212">
        <v>14</v>
      </c>
      <c r="AD11" s="203">
        <f>ROUND((AC11-AB11)/(AC4-AB4),4)</f>
        <v>7.3000000000000001E-3</v>
      </c>
      <c r="AE11" s="217">
        <f>ROUND(AB11-AB4*AD11,2)</f>
        <v>5.6</v>
      </c>
      <c r="AF11" s="213">
        <v>13.8</v>
      </c>
      <c r="AG11" s="214">
        <v>16.7</v>
      </c>
      <c r="AH11" s="203">
        <f>ROUND((AG11-AF11)/(AG4-AF4),4)</f>
        <v>9.7000000000000003E-3</v>
      </c>
      <c r="AI11" s="217">
        <f>ROUND(AF11-AF4*AH11,2)</f>
        <v>5.56</v>
      </c>
      <c r="AJ11" s="211">
        <v>15.8</v>
      </c>
      <c r="AK11" s="212">
        <v>19.3</v>
      </c>
      <c r="AL11" s="203">
        <f>ROUND((AK11-AJ11)/(AK4-AJ4),4)</f>
        <v>1.17E-2</v>
      </c>
      <c r="AM11" s="217">
        <f>ROUND(AJ11-AJ4*AL11,2)</f>
        <v>5.86</v>
      </c>
      <c r="AN11" s="211">
        <v>16</v>
      </c>
      <c r="AO11" s="212">
        <v>19.5</v>
      </c>
      <c r="AP11" s="203">
        <f>ROUND((AO11-AN11)/(AO4-AN4),4)</f>
        <v>1.17E-2</v>
      </c>
      <c r="AQ11" s="217">
        <f>ROUND(AN11-AN4*AP11,2)</f>
        <v>6.06</v>
      </c>
      <c r="AR11" s="211">
        <v>16.8</v>
      </c>
      <c r="AS11" s="212">
        <v>20.3</v>
      </c>
      <c r="AT11" s="203">
        <f>ROUND((AS11-AR11)/(AS4-AR4),4)</f>
        <v>1.17E-2</v>
      </c>
      <c r="AU11" s="217">
        <f>ROUND(AR11-AR4*AT11,2)</f>
        <v>6.86</v>
      </c>
    </row>
    <row r="12" spans="1:47">
      <c r="A12" t="s">
        <v>254</v>
      </c>
      <c r="B12" s="163" t="e">
        <f>B4*B9+B10</f>
        <v>#REF!</v>
      </c>
      <c r="D12" s="133">
        <v>9</v>
      </c>
      <c r="E12" s="133">
        <v>0</v>
      </c>
      <c r="F12" s="203">
        <f>INDEX($R5:$AU19,$D12,1+VLOOKUP($B5,$B$351:$E$368,4,FALSE))</f>
        <v>5.3E-3</v>
      </c>
      <c r="G12" s="203">
        <f>INDEX($R5:$AU19,$D12,2+VLOOKUP($B5,$B$351:$E$368,4,FALSE))</f>
        <v>4</v>
      </c>
      <c r="H12" s="203">
        <f>INDEX($R5:$AU19,$D12,5+VLOOKUP($B5,$B$351:$E$368,4,FALSE))</f>
        <v>6.3E-3</v>
      </c>
      <c r="I12" s="203">
        <f>INDEX($R5:$AU19,$D12,6+VLOOKUP($B5,$B$351:$E$368,4,FALSE))</f>
        <v>4.75</v>
      </c>
      <c r="J12" s="203">
        <f>INDEX($R5:$AU19,$D12,9+VLOOKUP($B5,$B$351:$E$368,4,FALSE))</f>
        <v>6.7000000000000002E-3</v>
      </c>
      <c r="K12" s="203">
        <f>INDEX($R5:$AU19,$D12,10+VLOOKUP($B5,$B$351:$E$368,4,FALSE))</f>
        <v>4.41</v>
      </c>
      <c r="L12" s="203">
        <f>INDEX($R5:$AU19,$D12,13+VLOOKUP($B5,$B$351:$E$368,4,FALSE))</f>
        <v>6.3E-3</v>
      </c>
      <c r="M12" s="203">
        <f>INDEX($R5:$AU19,$D12,14+VLOOKUP($B5,$B$351:$E$368,4,FALSE))</f>
        <v>5.05</v>
      </c>
      <c r="O12" s="215">
        <v>-5</v>
      </c>
      <c r="P12" s="211">
        <v>9.1999999999999993</v>
      </c>
      <c r="Q12" s="212">
        <v>11</v>
      </c>
      <c r="R12" s="203">
        <f>ROUND((Q12-P12)/(Q4-P4),4)</f>
        <v>6.0000000000000001E-3</v>
      </c>
      <c r="S12" s="217">
        <f>ROUND(P12-P4*R12,2)</f>
        <v>4.0999999999999996</v>
      </c>
      <c r="T12" s="211">
        <v>10.8</v>
      </c>
      <c r="U12" s="212">
        <v>12.9</v>
      </c>
      <c r="V12" s="203">
        <f>ROUND((U12-T12)/(U4-T4),4)</f>
        <v>7.0000000000000001E-3</v>
      </c>
      <c r="W12" s="217">
        <f>ROUND(T12-T4*V12,2)</f>
        <v>4.8499999999999996</v>
      </c>
      <c r="X12" s="211">
        <v>10.8</v>
      </c>
      <c r="Y12" s="212">
        <v>12.9</v>
      </c>
      <c r="Z12" s="203">
        <f>ROUND((Y12-X12)/(Y4-X4),4)</f>
        <v>7.0000000000000001E-3</v>
      </c>
      <c r="AA12" s="217">
        <f>ROUND(X12-X4*Z12,2)</f>
        <v>4.8499999999999996</v>
      </c>
      <c r="AB12" s="211">
        <v>11.1</v>
      </c>
      <c r="AC12" s="212">
        <v>13.1</v>
      </c>
      <c r="AD12" s="203">
        <f>ROUND((AC12-AB12)/(AC4-AB4),4)</f>
        <v>6.7000000000000002E-3</v>
      </c>
      <c r="AE12" s="217">
        <f>ROUND(AB12-AB4*AD12,2)</f>
        <v>5.41</v>
      </c>
      <c r="AF12" s="211">
        <v>12.8</v>
      </c>
      <c r="AG12" s="212">
        <v>15.6</v>
      </c>
      <c r="AH12" s="203">
        <f>ROUND((AG12-AF12)/(AG4-AF4),4)</f>
        <v>9.2999999999999992E-3</v>
      </c>
      <c r="AI12" s="217">
        <f>ROUND(AF12-AF4*AH12,2)</f>
        <v>4.9000000000000004</v>
      </c>
      <c r="AJ12" s="211">
        <v>14.8</v>
      </c>
      <c r="AK12" s="212">
        <v>18</v>
      </c>
      <c r="AL12" s="203">
        <f>ROUND((AK12-AJ12)/(AK4-AJ4),4)</f>
        <v>1.0699999999999999E-2</v>
      </c>
      <c r="AM12" s="217">
        <f>ROUND(AJ12-AJ4*AL12,2)</f>
        <v>5.71</v>
      </c>
      <c r="AN12" s="211">
        <v>15.1</v>
      </c>
      <c r="AO12" s="212">
        <v>18.3</v>
      </c>
      <c r="AP12" s="203">
        <f>ROUND((AO12-AN12)/(AO4-AN4),4)</f>
        <v>1.0699999999999999E-2</v>
      </c>
      <c r="AQ12" s="217">
        <f>ROUND(AN12-AN4*AP12,2)</f>
        <v>6.01</v>
      </c>
      <c r="AR12" s="211">
        <v>15.8</v>
      </c>
      <c r="AS12" s="214">
        <v>19.100000000000001</v>
      </c>
      <c r="AT12" s="203">
        <f>ROUND((AS12-AR12)/(AS4-AR4),4)</f>
        <v>1.0999999999999999E-2</v>
      </c>
      <c r="AU12" s="217">
        <f>ROUND(AR12-AR4*AT12,2)</f>
        <v>6.45</v>
      </c>
    </row>
    <row r="13" spans="1:47">
      <c r="A13" t="s">
        <v>255</v>
      </c>
      <c r="B13" s="163" t="e">
        <f>ROUND(B12/(0.000335*B4),1)+B7</f>
        <v>#REF!</v>
      </c>
      <c r="D13" s="133">
        <v>10</v>
      </c>
      <c r="E13" s="133">
        <v>5</v>
      </c>
      <c r="F13" s="203">
        <f>INDEX($R5:$AU19,$D13,1+VLOOKUP($B5,$B$351:$E$368,4,FALSE))</f>
        <v>4.8999999999999998E-3</v>
      </c>
      <c r="G13" s="203">
        <f>INDEX($R5:$AU19,$D13,2+VLOOKUP($B5,$B$351:$E$368,4,FALSE))</f>
        <v>3.63</v>
      </c>
      <c r="H13" s="203">
        <f>INDEX($R5:$AU19,$D13,5+VLOOKUP($B5,$B$351:$E$368,4,FALSE))</f>
        <v>6.1999999999999998E-3</v>
      </c>
      <c r="I13" s="203">
        <f>INDEX($R5:$AU19,$D13,6+VLOOKUP($B5,$B$351:$E$368,4,FALSE))</f>
        <v>4.07</v>
      </c>
      <c r="J13" s="203">
        <f>INDEX($R5:$AU19,$D13,9+VLOOKUP($B5,$B$351:$E$368,4,FALSE))</f>
        <v>6.0000000000000001E-3</v>
      </c>
      <c r="K13" s="203">
        <f>INDEX($R5:$AU19,$D13,10+VLOOKUP($B5,$B$351:$E$368,4,FALSE))</f>
        <v>4.3</v>
      </c>
      <c r="L13" s="203">
        <f>INDEX($R5:$AU19,$D13,13+VLOOKUP($B5,$B$351:$E$368,4,FALSE))</f>
        <v>5.8999999999999999E-3</v>
      </c>
      <c r="M13" s="203">
        <f>INDEX($R5:$AU19,$D13,14+VLOOKUP($B5,$B$351:$E$368,4,FALSE))</f>
        <v>4.62</v>
      </c>
      <c r="O13" s="215">
        <v>0</v>
      </c>
      <c r="P13" s="211">
        <v>8.5</v>
      </c>
      <c r="Q13" s="212">
        <v>10.1</v>
      </c>
      <c r="R13" s="203">
        <f>ROUND((Q13-P13)/(Q4-P4),4)</f>
        <v>5.3E-3</v>
      </c>
      <c r="S13" s="217">
        <f>ROUND(P13-P4*R13,2)</f>
        <v>4</v>
      </c>
      <c r="T13" s="211">
        <v>10.1</v>
      </c>
      <c r="U13" s="212">
        <v>12</v>
      </c>
      <c r="V13" s="203">
        <f>ROUND((U13-T13)/(U4-T4),4)</f>
        <v>6.3E-3</v>
      </c>
      <c r="W13" s="217">
        <f>ROUND(T13-T4*V13,2)</f>
        <v>4.75</v>
      </c>
      <c r="X13" s="211">
        <v>10.1</v>
      </c>
      <c r="Y13" s="212">
        <v>12.1</v>
      </c>
      <c r="Z13" s="203">
        <f>ROUND((Y13-X13)/(Y4-X4),4)</f>
        <v>6.7000000000000002E-3</v>
      </c>
      <c r="AA13" s="217">
        <f>ROUND(X13-X4*Z13,2)</f>
        <v>4.41</v>
      </c>
      <c r="AB13" s="211">
        <v>10.4</v>
      </c>
      <c r="AC13" s="212">
        <v>12.3</v>
      </c>
      <c r="AD13" s="203">
        <f>ROUND((AC13-AB13)/(AC4-AB4),4)</f>
        <v>6.3E-3</v>
      </c>
      <c r="AE13" s="217">
        <f>ROUND(AB13-AB4*AD13,2)</f>
        <v>5.05</v>
      </c>
      <c r="AF13" s="211">
        <v>11.9</v>
      </c>
      <c r="AG13" s="212">
        <v>14.4</v>
      </c>
      <c r="AH13" s="203">
        <f>ROUND((AG13-AF13)/(AG4-AF4),4)</f>
        <v>8.3000000000000001E-3</v>
      </c>
      <c r="AI13" s="217">
        <f>ROUND(AF13-AF4*AH13,2)</f>
        <v>4.8499999999999996</v>
      </c>
      <c r="AJ13" s="211">
        <v>13.9</v>
      </c>
      <c r="AK13" s="212">
        <v>16.899999999999999</v>
      </c>
      <c r="AL13" s="203">
        <f>ROUND((AK13-AJ13)/(AK4-AJ4),4)</f>
        <v>0.01</v>
      </c>
      <c r="AM13" s="217">
        <f>ROUND(AJ13-AJ4*AL13,2)</f>
        <v>5.4</v>
      </c>
      <c r="AN13" s="211">
        <v>14.1</v>
      </c>
      <c r="AO13" s="212">
        <v>17.2</v>
      </c>
      <c r="AP13" s="203">
        <f>ROUND((AO13-AN13)/(AO4-AN4),4)</f>
        <v>1.03E-2</v>
      </c>
      <c r="AQ13" s="217">
        <f>ROUND(AN13-AN4*AP13,2)</f>
        <v>5.35</v>
      </c>
      <c r="AR13" s="211">
        <v>14.9</v>
      </c>
      <c r="AS13" s="214">
        <v>18</v>
      </c>
      <c r="AT13" s="203">
        <f>ROUND((AS13-AR13)/(AS4-AR4),4)</f>
        <v>1.03E-2</v>
      </c>
      <c r="AU13" s="217">
        <f>ROUND(AR13-AR4*AT13,2)</f>
        <v>6.15</v>
      </c>
    </row>
    <row r="14" spans="1:47">
      <c r="D14" s="133">
        <v>11</v>
      </c>
      <c r="E14" s="133">
        <v>10</v>
      </c>
      <c r="F14" s="203">
        <f>INDEX($R5:$AU19,$D14,1+VLOOKUP($B5,$B$351:$E$368,4,FALSE))</f>
        <v>4.7000000000000002E-3</v>
      </c>
      <c r="G14" s="203">
        <f>INDEX($R5:$AU19,$D14,2+VLOOKUP($B5,$B$351:$E$368,4,FALSE))</f>
        <v>3.08</v>
      </c>
      <c r="H14" s="203">
        <f>INDEX($R5:$AU19,$D14,5+VLOOKUP($B5,$B$351:$E$368,4,FALSE))</f>
        <v>5.5999999999999999E-3</v>
      </c>
      <c r="I14" s="203">
        <f>INDEX($R5:$AU19,$D14,6+VLOOKUP($B5,$B$351:$E$368,4,FALSE))</f>
        <v>3.86</v>
      </c>
      <c r="J14" s="203">
        <f>INDEX($R5:$AU19,$D14,9+VLOOKUP($B5,$B$351:$E$368,4,FALSE))</f>
        <v>5.4000000000000003E-3</v>
      </c>
      <c r="K14" s="203">
        <f>INDEX($R5:$AU19,$D14,10+VLOOKUP($B5,$B$351:$E$368,4,FALSE))</f>
        <v>4.0999999999999996</v>
      </c>
      <c r="L14" s="203">
        <f>INDEX($R5:$AU19,$D14,13+VLOOKUP($B5,$B$351:$E$368,4,FALSE))</f>
        <v>5.5999999999999999E-3</v>
      </c>
      <c r="M14" s="203">
        <f>INDEX($R5:$AU19,$D14,14+VLOOKUP($B5,$B$351:$E$368,4,FALSE))</f>
        <v>4.16</v>
      </c>
      <c r="O14" s="215">
        <v>5</v>
      </c>
      <c r="P14" s="211">
        <v>7.79</v>
      </c>
      <c r="Q14" s="212">
        <v>9.27</v>
      </c>
      <c r="R14" s="203">
        <f>ROUND((Q14-P14)/(Q4-P4),4)</f>
        <v>4.8999999999999998E-3</v>
      </c>
      <c r="S14" s="217">
        <f>ROUND(P14-P4*R14,2)</f>
        <v>3.63</v>
      </c>
      <c r="T14" s="211">
        <v>9.34</v>
      </c>
      <c r="U14" s="212">
        <v>11.2</v>
      </c>
      <c r="V14" s="203">
        <f>ROUND((U14-T14)/(U4-T4),4)</f>
        <v>6.1999999999999998E-3</v>
      </c>
      <c r="W14" s="217">
        <f>ROUND(T14-T4*V14,2)</f>
        <v>4.07</v>
      </c>
      <c r="X14" s="211">
        <v>9.4</v>
      </c>
      <c r="Y14" s="212">
        <v>11.2</v>
      </c>
      <c r="Z14" s="203">
        <f>ROUND((Y14-X14)/(Y4-X4),4)</f>
        <v>6.0000000000000001E-3</v>
      </c>
      <c r="AA14" s="217">
        <f>ROUND(X14-X4*Z14,2)</f>
        <v>4.3</v>
      </c>
      <c r="AB14" s="211">
        <v>9.6300000000000008</v>
      </c>
      <c r="AC14" s="212">
        <v>11.4</v>
      </c>
      <c r="AD14" s="203">
        <f>ROUND((AC14-AB14)/(AC4-AB4),4)</f>
        <v>5.8999999999999999E-3</v>
      </c>
      <c r="AE14" s="217">
        <f>ROUND(AB14-AB4*AD14,2)</f>
        <v>4.62</v>
      </c>
      <c r="AF14" s="211">
        <v>11</v>
      </c>
      <c r="AG14" s="212">
        <v>13.3</v>
      </c>
      <c r="AH14" s="203">
        <f>ROUND((AG14-AF14)/(AG4-AF4),4)</f>
        <v>7.7000000000000002E-3</v>
      </c>
      <c r="AI14" s="217">
        <f>ROUND(AF14-AF4*AH14,2)</f>
        <v>4.46</v>
      </c>
      <c r="AJ14" s="211">
        <v>13</v>
      </c>
      <c r="AK14" s="212">
        <v>15.8</v>
      </c>
      <c r="AL14" s="203">
        <f>ROUND((AK14-AJ14)/(AK4-AJ4),4)</f>
        <v>9.2999999999999992E-3</v>
      </c>
      <c r="AM14" s="217">
        <f>ROUND(AJ14-AJ4*AL14,2)</f>
        <v>5.0999999999999996</v>
      </c>
      <c r="AN14" s="211">
        <v>13.2</v>
      </c>
      <c r="AO14" s="212">
        <v>16</v>
      </c>
      <c r="AP14" s="203">
        <f>ROUND((AO14-AN14)/(AO4-AN4),4)</f>
        <v>9.2999999999999992E-3</v>
      </c>
      <c r="AQ14" s="217">
        <f>ROUND(AN14-AN4*AP14,2)</f>
        <v>5.3</v>
      </c>
      <c r="AR14" s="211">
        <v>13.9</v>
      </c>
      <c r="AS14" s="214">
        <v>16.8</v>
      </c>
      <c r="AT14" s="203">
        <f>ROUND((AS14-AR14)/(AS4-AR4),4)</f>
        <v>9.7000000000000003E-3</v>
      </c>
      <c r="AU14" s="217">
        <f>ROUND(AR14-AR4*AT14,2)</f>
        <v>5.66</v>
      </c>
    </row>
    <row r="15" spans="1:47">
      <c r="A15" t="s">
        <v>256</v>
      </c>
      <c r="B15" s="163" t="e">
        <f>ROUND(B12/(4183*VLOOKUP(B6,B$345:E$348,4,FALSE))*3600,2)</f>
        <v>#REF!</v>
      </c>
      <c r="D15" s="133">
        <v>12</v>
      </c>
      <c r="E15" s="133">
        <v>15</v>
      </c>
      <c r="F15" s="203">
        <f>INDEX($R5:$AU19,$D15,1+VLOOKUP($B5,$B$351:$E$368,4,FALSE))</f>
        <v>4.0000000000000001E-3</v>
      </c>
      <c r="G15" s="203">
        <f>INDEX($R5:$AU19,$D15,2+VLOOKUP($B5,$B$351:$E$368,4,FALSE))</f>
        <v>2.97</v>
      </c>
      <c r="H15" s="203">
        <f>INDEX($R5:$AU19,$D15,5+VLOOKUP($B5,$B$351:$E$368,4,FALSE))</f>
        <v>5.0000000000000001E-3</v>
      </c>
      <c r="I15" s="203">
        <f>INDEX($R5:$AU19,$D15,6+VLOOKUP($B5,$B$351:$E$368,4,FALSE))</f>
        <v>3.67</v>
      </c>
      <c r="J15" s="203">
        <f>INDEX($R5:$AU19,$D15,9+VLOOKUP($B5,$B$351:$E$368,4,FALSE))</f>
        <v>5.0000000000000001E-3</v>
      </c>
      <c r="K15" s="203">
        <f>INDEX($R5:$AU19,$D15,10+VLOOKUP($B5,$B$351:$E$368,4,FALSE))</f>
        <v>3.72</v>
      </c>
      <c r="L15" s="203">
        <f>INDEX($R5:$AU19,$D15,13+VLOOKUP($B5,$B$351:$E$368,4,FALSE))</f>
        <v>5.0000000000000001E-3</v>
      </c>
      <c r="M15" s="203">
        <f>INDEX($R5:$AU19,$D15,14+VLOOKUP($B5,$B$351:$E$368,4,FALSE))</f>
        <v>3.96</v>
      </c>
      <c r="O15" s="215">
        <v>10</v>
      </c>
      <c r="P15" s="211">
        <v>7.07</v>
      </c>
      <c r="Q15" s="212">
        <v>8.4700000000000006</v>
      </c>
      <c r="R15" s="203">
        <f>ROUND((Q15-P15)/(Q4-P4),4)</f>
        <v>4.7000000000000002E-3</v>
      </c>
      <c r="S15" s="217">
        <f>ROUND(P15-P4*R15,2)</f>
        <v>3.08</v>
      </c>
      <c r="T15" s="211">
        <v>8.6199999999999992</v>
      </c>
      <c r="U15" s="212">
        <v>10.3</v>
      </c>
      <c r="V15" s="203">
        <f>ROUND((U15-T15)/(U4-T4),4)</f>
        <v>5.5999999999999999E-3</v>
      </c>
      <c r="W15" s="217">
        <f>ROUND(T15-T4*V15,2)</f>
        <v>3.86</v>
      </c>
      <c r="X15" s="211">
        <v>8.69</v>
      </c>
      <c r="Y15" s="212">
        <v>10.3</v>
      </c>
      <c r="Z15" s="203">
        <f>ROUND((Y15-X15)/(Y4-X4),4)</f>
        <v>5.4000000000000003E-3</v>
      </c>
      <c r="AA15" s="217">
        <f>ROUND(X15-X4*Z15,2)</f>
        <v>4.0999999999999996</v>
      </c>
      <c r="AB15" s="211">
        <v>8.92</v>
      </c>
      <c r="AC15" s="212">
        <v>10.6</v>
      </c>
      <c r="AD15" s="203">
        <f>ROUND((AC15-AB15)/(AC4-AB4),4)</f>
        <v>5.5999999999999999E-3</v>
      </c>
      <c r="AE15" s="217">
        <f>ROUND(AB15-AB4*AD15,2)</f>
        <v>4.16</v>
      </c>
      <c r="AF15" s="211">
        <v>10</v>
      </c>
      <c r="AG15" s="212">
        <v>12.2</v>
      </c>
      <c r="AH15" s="203">
        <f>ROUND((AG15-AF15)/(AG4-AF4),4)</f>
        <v>7.3000000000000001E-3</v>
      </c>
      <c r="AI15" s="217">
        <f>ROUND(AF15-AF4*AH15,2)</f>
        <v>3.8</v>
      </c>
      <c r="AJ15" s="211">
        <v>12</v>
      </c>
      <c r="AK15" s="212">
        <v>14.6</v>
      </c>
      <c r="AL15" s="203">
        <f>ROUND((AK15-AJ15)/(AK4-AJ4),4)</f>
        <v>8.6999999999999994E-3</v>
      </c>
      <c r="AM15" s="217">
        <f>ROUND(AJ15-AJ4*AL15,2)</f>
        <v>4.6100000000000003</v>
      </c>
      <c r="AN15" s="211">
        <v>12.3</v>
      </c>
      <c r="AO15" s="212">
        <v>14.9</v>
      </c>
      <c r="AP15" s="203">
        <f>ROUND((AO15-AN15)/(AO4-AN4),4)</f>
        <v>8.6999999999999994E-3</v>
      </c>
      <c r="AQ15" s="217">
        <f>ROUND(AN15-AN4*AP15,2)</f>
        <v>4.91</v>
      </c>
      <c r="AR15" s="211">
        <v>13</v>
      </c>
      <c r="AS15" s="214">
        <v>15.7</v>
      </c>
      <c r="AT15" s="203">
        <f>ROUND((AS15-AR15)/(AS4-AR4),4)</f>
        <v>8.9999999999999993E-3</v>
      </c>
      <c r="AU15" s="217">
        <f>ROUND(AR15-AR4*AT15,2)</f>
        <v>5.35</v>
      </c>
    </row>
    <row r="16" spans="1:47">
      <c r="A16" t="s">
        <v>257</v>
      </c>
      <c r="B16" s="163" t="e">
        <f>ROUND(100*POWER(B15/VLOOKUP(B5,B$351:C$368,2,FALSE),2),1)</f>
        <v>#REF!</v>
      </c>
      <c r="D16" s="133">
        <v>13</v>
      </c>
      <c r="E16" s="133">
        <v>20</v>
      </c>
      <c r="F16" s="203">
        <f>INDEX($R5:$AU19,$D16,1+VLOOKUP($B5,$B$351:$E$368,4,FALSE))</f>
        <v>3.5000000000000001E-3</v>
      </c>
      <c r="G16" s="203">
        <f>INDEX($R5:$AU19,$D16,2+VLOOKUP($B5,$B$351:$E$368,4,FALSE))</f>
        <v>2.67</v>
      </c>
      <c r="H16" s="203">
        <f>INDEX($R5:$AU19,$D16,5+VLOOKUP($B5,$B$351:$E$368,4,FALSE))</f>
        <v>4.5999999999999999E-3</v>
      </c>
      <c r="I16" s="203">
        <f>INDEX($R5:$AU19,$D16,6+VLOOKUP($B5,$B$351:$E$368,4,FALSE))</f>
        <v>3.3</v>
      </c>
      <c r="J16" s="203">
        <f>INDEX($R5:$AU19,$D16,9+VLOOKUP($B5,$B$351:$E$368,4,FALSE))</f>
        <v>4.4999999999999997E-3</v>
      </c>
      <c r="K16" s="203">
        <f>INDEX($R5:$AU19,$D16,10+VLOOKUP($B5,$B$351:$E$368,4,FALSE))</f>
        <v>3.42</v>
      </c>
      <c r="L16" s="203">
        <f>INDEX($R5:$AU19,$D16,13+VLOOKUP($B5,$B$351:$E$368,4,FALSE))</f>
        <v>4.4000000000000003E-3</v>
      </c>
      <c r="M16" s="203">
        <f>INDEX($R5:$AU19,$D16,14+VLOOKUP($B5,$B$351:$E$368,4,FALSE))</f>
        <v>3.78</v>
      </c>
      <c r="O16" s="215">
        <v>15</v>
      </c>
      <c r="P16" s="211">
        <v>6.37</v>
      </c>
      <c r="Q16" s="212">
        <v>7.56</v>
      </c>
      <c r="R16" s="203">
        <f>ROUND((Q16-P16)/(Q4-P4),4)</f>
        <v>4.0000000000000001E-3</v>
      </c>
      <c r="S16" s="217">
        <f>ROUND(P16-P4*R16,2)</f>
        <v>2.97</v>
      </c>
      <c r="T16" s="211">
        <v>7.92</v>
      </c>
      <c r="U16" s="212">
        <v>9.43</v>
      </c>
      <c r="V16" s="203">
        <f>ROUND((U16-T16)/(U4-T4),4)</f>
        <v>5.0000000000000001E-3</v>
      </c>
      <c r="W16" s="217">
        <f>ROUND(T16-T4*V16,2)</f>
        <v>3.67</v>
      </c>
      <c r="X16" s="211">
        <v>7.97</v>
      </c>
      <c r="Y16" s="212">
        <v>9.4700000000000006</v>
      </c>
      <c r="Z16" s="203">
        <f>ROUND((Y16-X16)/(Y4-X4),4)</f>
        <v>5.0000000000000001E-3</v>
      </c>
      <c r="AA16" s="217">
        <f>ROUND(X16-X4*Z16,2)</f>
        <v>3.72</v>
      </c>
      <c r="AB16" s="211">
        <v>8.2100000000000009</v>
      </c>
      <c r="AC16" s="212">
        <v>9.6999999999999993</v>
      </c>
      <c r="AD16" s="203">
        <f>ROUND((AC16-AB16)/(AC4-AB4),4)</f>
        <v>5.0000000000000001E-3</v>
      </c>
      <c r="AE16" s="217">
        <f>ROUND(AB16-AB4*AD16,2)</f>
        <v>3.96</v>
      </c>
      <c r="AF16" s="211">
        <v>9.1</v>
      </c>
      <c r="AG16" s="212">
        <v>11</v>
      </c>
      <c r="AH16" s="203">
        <f>ROUND((AG16-AF16)/(AG4-AF4),4)</f>
        <v>6.3E-3</v>
      </c>
      <c r="AI16" s="217">
        <f>ROUND(AF16-AF4*AH16,2)</f>
        <v>3.75</v>
      </c>
      <c r="AJ16" s="211">
        <v>11.1</v>
      </c>
      <c r="AK16" s="212">
        <v>13.5</v>
      </c>
      <c r="AL16" s="203">
        <f>ROUND((AK16-AJ16)/(AK4-AJ4),4)</f>
        <v>8.0000000000000002E-3</v>
      </c>
      <c r="AM16" s="217">
        <f>ROUND(AJ16-AJ4*AL16,2)</f>
        <v>4.3</v>
      </c>
      <c r="AN16" s="211">
        <v>11.3</v>
      </c>
      <c r="AO16" s="212">
        <v>13.7</v>
      </c>
      <c r="AP16" s="203">
        <f>ROUND((AO16-AN16)/(AO4-AN4),4)</f>
        <v>8.0000000000000002E-3</v>
      </c>
      <c r="AQ16" s="217">
        <f>ROUND(AN16-AN4*AP16,2)</f>
        <v>4.5</v>
      </c>
      <c r="AR16" s="211">
        <v>12</v>
      </c>
      <c r="AS16" s="214">
        <v>14.5</v>
      </c>
      <c r="AT16" s="203">
        <f>ROUND((AS16-AR16)/(AS4-AR4),4)</f>
        <v>8.3000000000000001E-3</v>
      </c>
      <c r="AU16" s="217">
        <f>ROUND(AR16-AR4*AT16,2)</f>
        <v>4.95</v>
      </c>
    </row>
    <row r="17" spans="1:47">
      <c r="D17" s="133">
        <v>14</v>
      </c>
      <c r="E17" s="133">
        <v>25</v>
      </c>
      <c r="F17" s="203">
        <f>INDEX($R5:$AU19,$D17,1+VLOOKUP($B5,$B$351:$E$368,4,FALSE))</f>
        <v>3.0999999999999999E-3</v>
      </c>
      <c r="G17" s="203">
        <f>INDEX($R5:$AU19,$D17,2+VLOOKUP($B5,$B$351:$E$368,4,FALSE))</f>
        <v>2.2999999999999998</v>
      </c>
      <c r="H17" s="203">
        <f>INDEX($R5:$AU19,$D17,5+VLOOKUP($B5,$B$351:$E$368,4,FALSE))</f>
        <v>4.1000000000000003E-3</v>
      </c>
      <c r="I17" s="203">
        <f>INDEX($R5:$AU19,$D17,6+VLOOKUP($B5,$B$351:$E$368,4,FALSE))</f>
        <v>3.01</v>
      </c>
      <c r="J17" s="203">
        <f>INDEX($R5:$AU19,$D17,9+VLOOKUP($B5,$B$351:$E$368,4,FALSE))</f>
        <v>4.1000000000000003E-3</v>
      </c>
      <c r="K17" s="203">
        <f>INDEX($R5:$AU19,$D17,10+VLOOKUP($B5,$B$351:$E$368,4,FALSE))</f>
        <v>3.04</v>
      </c>
      <c r="L17" s="203">
        <f>INDEX($R5:$AU19,$D17,13+VLOOKUP($B5,$B$351:$E$368,4,FALSE))</f>
        <v>4.0000000000000001E-3</v>
      </c>
      <c r="M17" s="203">
        <f>INDEX($R5:$AU19,$D17,14+VLOOKUP($B5,$B$351:$E$368,4,FALSE))</f>
        <v>3.41</v>
      </c>
      <c r="O17" s="215">
        <v>20</v>
      </c>
      <c r="P17" s="211">
        <v>5.6433333333333398</v>
      </c>
      <c r="Q17" s="212">
        <v>6.7060000000000004</v>
      </c>
      <c r="R17" s="203">
        <f>ROUND((Q17-P17)/(Q4-P4),4)</f>
        <v>3.5000000000000001E-3</v>
      </c>
      <c r="S17" s="217">
        <f>ROUND(P17-P4*R17,2)</f>
        <v>2.67</v>
      </c>
      <c r="T17" s="211">
        <v>7.2053333333333303</v>
      </c>
      <c r="U17" s="212">
        <v>8.5786666666666598</v>
      </c>
      <c r="V17" s="203">
        <f>ROUND((U17-T17)/(U4-T4),4)</f>
        <v>4.5999999999999999E-3</v>
      </c>
      <c r="W17" s="217">
        <f>ROUND(T17-T4*V17,2)</f>
        <v>3.3</v>
      </c>
      <c r="X17" s="211">
        <v>7.2446666666666601</v>
      </c>
      <c r="Y17" s="212">
        <v>8.6079999999999899</v>
      </c>
      <c r="Z17" s="203">
        <f>ROUND((Y17-X17)/(Y4-X4),4)</f>
        <v>4.4999999999999997E-3</v>
      </c>
      <c r="AA17" s="217">
        <f>ROUND(X17-X4*Z17,2)</f>
        <v>3.42</v>
      </c>
      <c r="AB17" s="211">
        <v>7.5186666666666699</v>
      </c>
      <c r="AC17" s="212">
        <v>8.8533333333333299</v>
      </c>
      <c r="AD17" s="203">
        <f>ROUND((AC17-AB17)/(AC4-AB4),4)</f>
        <v>4.4000000000000003E-3</v>
      </c>
      <c r="AE17" s="217">
        <f>ROUND(AB17-AB4*AD17,2)</f>
        <v>3.78</v>
      </c>
      <c r="AF17" s="213">
        <v>8.16</v>
      </c>
      <c r="AG17" s="214">
        <v>9.8533333333333193</v>
      </c>
      <c r="AH17" s="203">
        <f>ROUND((AG17-AF17)/(AG4-AF4),4)</f>
        <v>5.5999999999999999E-3</v>
      </c>
      <c r="AI17" s="217">
        <f>ROUND(AF17-AF4*AH17,2)</f>
        <v>3.4</v>
      </c>
      <c r="AJ17" s="211">
        <v>10.1733333333333</v>
      </c>
      <c r="AK17" s="212">
        <v>12.3333333333333</v>
      </c>
      <c r="AL17" s="203">
        <f>ROUND((AK17-AJ17)/(AK4-AJ4),4)</f>
        <v>7.1999999999999998E-3</v>
      </c>
      <c r="AM17" s="217">
        <f>ROUND(AJ17-AJ4*AL17,2)</f>
        <v>4.05</v>
      </c>
      <c r="AN17" s="211">
        <v>10.4</v>
      </c>
      <c r="AO17" s="212">
        <v>12.5866666666666</v>
      </c>
      <c r="AP17" s="203">
        <f>ROUND((AO17-AN17)/(AO4-AN4),4)</f>
        <v>7.3000000000000001E-3</v>
      </c>
      <c r="AQ17" s="217">
        <f>ROUND(AN17-AN4*AP17,2)</f>
        <v>4.2</v>
      </c>
      <c r="AR17" s="211">
        <v>11.0933333333333</v>
      </c>
      <c r="AS17" s="212">
        <v>13.3533333333333</v>
      </c>
      <c r="AT17" s="203">
        <f>ROUND((AS17-AR17)/(AS4-AR4),4)</f>
        <v>7.4999999999999997E-3</v>
      </c>
      <c r="AU17" s="217">
        <f>ROUND(AR17-AR4*AT17,2)</f>
        <v>4.72</v>
      </c>
    </row>
    <row r="18" spans="1:47">
      <c r="D18" s="133">
        <v>15</v>
      </c>
      <c r="E18" s="133">
        <v>30</v>
      </c>
      <c r="F18" s="203">
        <f>INDEX($R5:$AU19,$D18,1+VLOOKUP($B5,$B$351:$E$368,4,FALSE))</f>
        <v>2.5999999999999999E-3</v>
      </c>
      <c r="G18" s="203">
        <f>INDEX($R5:$AU19,$D18,2+VLOOKUP($B5,$B$351:$E$368,4,FALSE))</f>
        <v>2.0099999999999998</v>
      </c>
      <c r="H18" s="203">
        <f>INDEX($R5:$AU19,$D18,5+VLOOKUP($B5,$B$351:$E$368,4,FALSE))</f>
        <v>3.5999999999999999E-3</v>
      </c>
      <c r="I18" s="203">
        <f>INDEX($R5:$AU19,$D18,6+VLOOKUP($B5,$B$351:$E$368,4,FALSE))</f>
        <v>2.72</v>
      </c>
      <c r="J18" s="203">
        <f>INDEX($R5:$AU19,$D18,9+VLOOKUP($B5,$B$351:$E$368,4,FALSE))</f>
        <v>3.5999999999999999E-3</v>
      </c>
      <c r="K18" s="203">
        <f>INDEX($R5:$AU19,$D18,10+VLOOKUP($B5,$B$351:$E$368,4,FALSE))</f>
        <v>2.75</v>
      </c>
      <c r="L18" s="203">
        <f>INDEX($R5:$AU19,$D18,13+VLOOKUP($B5,$B$351:$E$368,4,FALSE))</f>
        <v>3.5000000000000001E-3</v>
      </c>
      <c r="M18" s="203">
        <f>INDEX($R5:$AU19,$D18,14+VLOOKUP($B5,$B$351:$E$368,4,FALSE))</f>
        <v>3.12</v>
      </c>
      <c r="O18" s="215">
        <v>25</v>
      </c>
      <c r="P18" s="211">
        <v>4.9303030303030297</v>
      </c>
      <c r="Q18" s="212">
        <v>5.8489090909090899</v>
      </c>
      <c r="R18" s="203">
        <f>ROUND((Q18-P18)/(Q4-P4),4)</f>
        <v>3.0999999999999999E-3</v>
      </c>
      <c r="S18" s="217">
        <f>ROUND(P18-P4*R18,2)</f>
        <v>2.2999999999999998</v>
      </c>
      <c r="T18" s="211">
        <v>6.4903030303030302</v>
      </c>
      <c r="U18" s="212">
        <v>7.7178787878787798</v>
      </c>
      <c r="V18" s="203">
        <f>ROUND((U18-T18)/(U4-T4),4)</f>
        <v>4.1000000000000003E-3</v>
      </c>
      <c r="W18" s="217">
        <f>ROUND(T18-T4*V18,2)</f>
        <v>3.01</v>
      </c>
      <c r="X18" s="211">
        <v>6.5280606060605999</v>
      </c>
      <c r="Y18" s="212">
        <v>7.7463636363636299</v>
      </c>
      <c r="Z18" s="203">
        <f>ROUND((Y18-X18)/(Y4-X4),4)</f>
        <v>4.1000000000000003E-3</v>
      </c>
      <c r="AA18" s="217">
        <f>ROUND(X18-X4*Z18,2)</f>
        <v>3.04</v>
      </c>
      <c r="AB18" s="211">
        <v>6.8082424242424198</v>
      </c>
      <c r="AC18" s="212">
        <v>8.0012121212121201</v>
      </c>
      <c r="AD18" s="203">
        <f>ROUND((AC18-AB18)/(AC4-AB4),4)</f>
        <v>4.0000000000000001E-3</v>
      </c>
      <c r="AE18" s="217">
        <f>ROUND(AB18-AB4*AD18,2)</f>
        <v>3.41</v>
      </c>
      <c r="AF18" s="213">
        <v>7.2254545454545402</v>
      </c>
      <c r="AG18" s="214">
        <v>8.7048484848485206</v>
      </c>
      <c r="AH18" s="203">
        <f>ROUND((AG18-AF18)/(AG4-AF4),4)</f>
        <v>4.8999999999999998E-3</v>
      </c>
      <c r="AI18" s="217">
        <f>ROUND(AF18-AF4*AH18,2)</f>
        <v>3.06</v>
      </c>
      <c r="AJ18" s="211">
        <v>9.2430303030303396</v>
      </c>
      <c r="AK18" s="212">
        <v>11.186666666666699</v>
      </c>
      <c r="AL18" s="203">
        <f>ROUND((AK18-AJ18)/(AK4-AJ4),4)</f>
        <v>6.4999999999999997E-3</v>
      </c>
      <c r="AM18" s="217">
        <f>ROUND(AJ18-AJ4*AL18,2)</f>
        <v>3.72</v>
      </c>
      <c r="AN18" s="211">
        <v>9.4672727272727304</v>
      </c>
      <c r="AO18" s="212">
        <v>11.440606060605999</v>
      </c>
      <c r="AP18" s="203">
        <f>ROUND((AO18-AN18)/(AO4-AN4),4)</f>
        <v>6.6E-3</v>
      </c>
      <c r="AQ18" s="217">
        <f>ROUND(AN18-AN4*AP18,2)</f>
        <v>3.86</v>
      </c>
      <c r="AR18" s="211">
        <v>10.1503030303031</v>
      </c>
      <c r="AS18" s="212">
        <v>12.1957575757576</v>
      </c>
      <c r="AT18" s="203">
        <f>ROUND((AS18-AR18)/(AS4-AR4),4)</f>
        <v>6.7999999999999996E-3</v>
      </c>
      <c r="AU18" s="217">
        <f>ROUND(AR18-AR4*AT18,2)</f>
        <v>4.37</v>
      </c>
    </row>
    <row r="19" spans="1:47" ht="15" thickBot="1">
      <c r="O19" s="216">
        <v>30</v>
      </c>
      <c r="P19" s="226">
        <v>4.2172727272727304</v>
      </c>
      <c r="Q19" s="227">
        <v>4.9918181818181901</v>
      </c>
      <c r="R19" s="228">
        <f>ROUND((Q19-P19)/(Q4-P4),4)</f>
        <v>2.5999999999999999E-3</v>
      </c>
      <c r="S19" s="229">
        <f>ROUND(P19-P4*R19,2)</f>
        <v>2.0099999999999998</v>
      </c>
      <c r="T19" s="226">
        <v>5.7752727272727196</v>
      </c>
      <c r="U19" s="227">
        <v>6.8570909090909504</v>
      </c>
      <c r="V19" s="228">
        <f>ROUND((U19-T19)/(U4-T4),4)</f>
        <v>3.5999999999999999E-3</v>
      </c>
      <c r="W19" s="229">
        <f>ROUND(T19-T4*V19,2)</f>
        <v>2.72</v>
      </c>
      <c r="X19" s="226">
        <v>5.8114545454545397</v>
      </c>
      <c r="Y19" s="227">
        <v>6.88472727272723</v>
      </c>
      <c r="Z19" s="228">
        <f>ROUND((Y19-X19)/(Y4-X4),4)</f>
        <v>3.5999999999999999E-3</v>
      </c>
      <c r="AA19" s="229">
        <f>ROUND(X19-X4*Z19,2)</f>
        <v>2.75</v>
      </c>
      <c r="AB19" s="226">
        <v>6.0978181818181802</v>
      </c>
      <c r="AC19" s="227">
        <v>7.1490909090909502</v>
      </c>
      <c r="AD19" s="228">
        <f>ROUND((AC19-AB19)/(AC4-AB4),4)</f>
        <v>3.5000000000000001E-3</v>
      </c>
      <c r="AE19" s="229">
        <f>ROUND(AB19-AB4*AD19,2)</f>
        <v>3.12</v>
      </c>
      <c r="AF19" s="232">
        <v>6.2909090909090404</v>
      </c>
      <c r="AG19" s="233">
        <v>7.5563636363636197</v>
      </c>
      <c r="AH19" s="228">
        <f>ROUND((AG19-AF19)/(AG4-AF4),4)</f>
        <v>4.1999999999999997E-3</v>
      </c>
      <c r="AI19" s="229">
        <f>ROUND(AF19-AF4*AH19,2)</f>
        <v>2.72</v>
      </c>
      <c r="AJ19" s="226">
        <v>8.3127272727272405</v>
      </c>
      <c r="AK19" s="227">
        <v>10.039999999999999</v>
      </c>
      <c r="AL19" s="228">
        <f>ROUND((AK19-AJ19)/(AK4-AJ4),4)</f>
        <v>5.7999999999999996E-3</v>
      </c>
      <c r="AM19" s="229">
        <f>ROUND(AJ19-AJ4*AL19,2)</f>
        <v>3.38</v>
      </c>
      <c r="AN19" s="226">
        <v>8.5345454545454302</v>
      </c>
      <c r="AO19" s="227">
        <v>10.2945454545454</v>
      </c>
      <c r="AP19" s="228">
        <f>ROUND((AO19-AN19)/(AO4-AN4),4)</f>
        <v>5.8999999999999999E-3</v>
      </c>
      <c r="AQ19" s="229">
        <f>ROUND(AN19-AN4*AP19,2)</f>
        <v>3.52</v>
      </c>
      <c r="AR19" s="226">
        <v>9.2072727272727608</v>
      </c>
      <c r="AS19" s="227">
        <v>11.038181818181799</v>
      </c>
      <c r="AT19" s="228">
        <f>ROUND((AS19-AR19)/(AS4-AR4),4)</f>
        <v>6.1000000000000004E-3</v>
      </c>
      <c r="AU19" s="229">
        <f>ROUND(AR19-AR4*AT19,2)</f>
        <v>4.0199999999999996</v>
      </c>
    </row>
    <row r="20" spans="1:47" ht="15" thickBot="1">
      <c r="P20" t="s">
        <v>271</v>
      </c>
    </row>
    <row r="21" spans="1:47" ht="15" thickBot="1">
      <c r="E21" s="163"/>
      <c r="F21" s="596" t="s">
        <v>244</v>
      </c>
      <c r="G21" s="597"/>
      <c r="H21" s="597" t="s">
        <v>245</v>
      </c>
      <c r="I21" s="597"/>
      <c r="J21" s="597" t="s">
        <v>246</v>
      </c>
      <c r="K21" s="597"/>
      <c r="L21" s="597" t="s">
        <v>247</v>
      </c>
      <c r="M21" s="598"/>
      <c r="O21" s="204" t="s">
        <v>258</v>
      </c>
      <c r="P21" s="590" t="s">
        <v>273</v>
      </c>
      <c r="Q21" s="591"/>
      <c r="R21" s="591"/>
      <c r="S21" s="591"/>
      <c r="T21" s="591"/>
      <c r="U21" s="591"/>
      <c r="V21" s="591"/>
      <c r="W21" s="591"/>
      <c r="X21" s="591"/>
      <c r="Y21" s="591"/>
      <c r="Z21" s="591"/>
      <c r="AA21" s="591"/>
      <c r="AB21" s="591"/>
      <c r="AC21" s="591"/>
      <c r="AD21" s="591"/>
      <c r="AE21" s="592"/>
      <c r="AF21" s="590" t="s">
        <v>274</v>
      </c>
      <c r="AG21" s="591"/>
      <c r="AH21" s="591"/>
      <c r="AI21" s="591"/>
      <c r="AJ21" s="591"/>
      <c r="AK21" s="591"/>
      <c r="AL21" s="591"/>
      <c r="AM21" s="591"/>
      <c r="AN21" s="591"/>
      <c r="AO21" s="591"/>
      <c r="AP21" s="591"/>
      <c r="AQ21" s="591"/>
      <c r="AR21" s="591"/>
      <c r="AS21" s="591"/>
      <c r="AT21" s="591"/>
      <c r="AU21" s="592"/>
    </row>
    <row r="22" spans="1:47" ht="15" thickBot="1">
      <c r="E22" s="163"/>
      <c r="F22" s="221" t="s">
        <v>66</v>
      </c>
      <c r="G22" s="222" t="s">
        <v>249</v>
      </c>
      <c r="H22" s="222" t="s">
        <v>66</v>
      </c>
      <c r="I22" s="222" t="s">
        <v>249</v>
      </c>
      <c r="J22" s="222" t="s">
        <v>66</v>
      </c>
      <c r="K22" s="222" t="s">
        <v>249</v>
      </c>
      <c r="L22" s="222" t="s">
        <v>66</v>
      </c>
      <c r="M22" s="223" t="s">
        <v>249</v>
      </c>
      <c r="O22" s="205" t="s">
        <v>251</v>
      </c>
      <c r="P22" s="593" t="s">
        <v>276</v>
      </c>
      <c r="Q22" s="594"/>
      <c r="R22" s="594"/>
      <c r="S22" s="595"/>
      <c r="T22" s="593" t="s">
        <v>277</v>
      </c>
      <c r="U22" s="594"/>
      <c r="V22" s="594"/>
      <c r="W22" s="595"/>
      <c r="X22" s="593" t="s">
        <v>278</v>
      </c>
      <c r="Y22" s="594"/>
      <c r="Z22" s="594"/>
      <c r="AA22" s="595"/>
      <c r="AB22" s="593" t="s">
        <v>279</v>
      </c>
      <c r="AC22" s="594"/>
      <c r="AD22" s="594"/>
      <c r="AE22" s="595"/>
      <c r="AF22" s="593" t="s">
        <v>276</v>
      </c>
      <c r="AG22" s="594"/>
      <c r="AH22" s="594"/>
      <c r="AI22" s="595"/>
      <c r="AJ22" s="593" t="s">
        <v>277</v>
      </c>
      <c r="AK22" s="594"/>
      <c r="AL22" s="594"/>
      <c r="AM22" s="595"/>
      <c r="AN22" s="593" t="s">
        <v>278</v>
      </c>
      <c r="AO22" s="594"/>
      <c r="AP22" s="594"/>
      <c r="AQ22" s="595"/>
      <c r="AR22" s="593" t="s">
        <v>279</v>
      </c>
      <c r="AS22" s="594"/>
      <c r="AT22" s="594"/>
      <c r="AU22" s="595"/>
    </row>
    <row r="23" spans="1:47" ht="15" thickBot="1">
      <c r="A23" t="s">
        <v>248</v>
      </c>
      <c r="B23" s="163" t="e">
        <f>Задача_Расход</f>
        <v>#REF!</v>
      </c>
      <c r="D23" s="133">
        <v>1</v>
      </c>
      <c r="E23" s="133">
        <v>-40</v>
      </c>
      <c r="F23" s="220">
        <f>INDEX($R24:$AU38,$D23,1+VLOOKUP($B24,$B$351:$E$368,4,FALSE))</f>
        <v>1.4200000000000001E-2</v>
      </c>
      <c r="G23" s="220">
        <f>INDEX($R24:$AU38,$D23,2+VLOOKUP($B24,$B$351:$E$368,4,FALSE))</f>
        <v>7.3</v>
      </c>
      <c r="H23" s="220">
        <f>INDEX($R24:$AU38,$D23,5+VLOOKUP($B24,$B$351:$E$368,4,FALSE))</f>
        <v>1.5900000000000001E-2</v>
      </c>
      <c r="I23" s="220">
        <f>INDEX($R24:$AU38,$D23,6+VLOOKUP($B24,$B$351:$E$368,4,FALSE))</f>
        <v>7.82</v>
      </c>
      <c r="J23" s="220">
        <f>INDEX($R24:$AU38,$D23,9+VLOOKUP($B24,$B$351:$E$368,4,FALSE))</f>
        <v>1.5800000000000002E-2</v>
      </c>
      <c r="K23" s="220">
        <f>INDEX($R24:$AU38,$D23,10+VLOOKUP($B24,$B$351:$E$368,4,FALSE))</f>
        <v>8.16</v>
      </c>
      <c r="L23" s="220">
        <f>INDEX($R24:$AU38,$D23,13+VLOOKUP($B24,$B$351:$E$368,4,FALSE))</f>
        <v>1.61E-2</v>
      </c>
      <c r="M23" s="220">
        <f>INDEX($R24:$AU38,$D23,14+VLOOKUP($B24,$B$351:$E$368,4,FALSE))</f>
        <v>8.7200000000000006</v>
      </c>
      <c r="O23" s="206" t="s">
        <v>248</v>
      </c>
      <c r="P23" s="207">
        <v>850</v>
      </c>
      <c r="Q23" s="208">
        <v>1150</v>
      </c>
      <c r="R23" s="208"/>
      <c r="S23" s="209"/>
      <c r="T23" s="207">
        <v>850</v>
      </c>
      <c r="U23" s="208">
        <v>1150</v>
      </c>
      <c r="V23" s="208"/>
      <c r="W23" s="209"/>
      <c r="X23" s="207">
        <v>850</v>
      </c>
      <c r="Y23" s="208">
        <v>1150</v>
      </c>
      <c r="Z23" s="208"/>
      <c r="AA23" s="209"/>
      <c r="AB23" s="207">
        <v>850</v>
      </c>
      <c r="AC23" s="208">
        <v>1150</v>
      </c>
      <c r="AD23" s="208"/>
      <c r="AE23" s="209"/>
      <c r="AF23" s="207">
        <v>850</v>
      </c>
      <c r="AG23" s="208">
        <v>1150</v>
      </c>
      <c r="AH23" s="208"/>
      <c r="AI23" s="209"/>
      <c r="AJ23" s="207">
        <v>850</v>
      </c>
      <c r="AK23" s="208">
        <v>1150</v>
      </c>
      <c r="AL23" s="208"/>
      <c r="AM23" s="209"/>
      <c r="AN23" s="207">
        <v>850</v>
      </c>
      <c r="AO23" s="208">
        <v>1150</v>
      </c>
      <c r="AP23" s="208"/>
      <c r="AQ23" s="209"/>
      <c r="AR23" s="207">
        <v>850</v>
      </c>
      <c r="AS23" s="208">
        <v>1150</v>
      </c>
      <c r="AT23" s="208"/>
      <c r="AU23" s="209"/>
    </row>
    <row r="24" spans="1:47">
      <c r="A24" t="s">
        <v>250</v>
      </c>
      <c r="B24" s="163" t="s">
        <v>260</v>
      </c>
      <c r="D24" s="133">
        <v>2</v>
      </c>
      <c r="E24" s="133">
        <v>-35</v>
      </c>
      <c r="F24" s="203">
        <f>INDEX($R24:$AU38,$D24,1+VLOOKUP($B24,$B$351:$E$368,4,FALSE))</f>
        <v>1.35E-2</v>
      </c>
      <c r="G24" s="203">
        <f>INDEX($R24:$AU38,$D24,2+VLOOKUP($B24,$B$351:$E$368,4,FALSE))</f>
        <v>6.97</v>
      </c>
      <c r="H24" s="203">
        <f>INDEX($R24:$AU38,$D24,5+VLOOKUP($B24,$B$351:$E$368,4,FALSE))</f>
        <v>1.5100000000000001E-2</v>
      </c>
      <c r="I24" s="203">
        <f>INDEX($R24:$AU38,$D24,6+VLOOKUP($B24,$B$351:$E$368,4,FALSE))</f>
        <v>7.57</v>
      </c>
      <c r="J24" s="203">
        <f>INDEX($R24:$AU38,$D24,9+VLOOKUP($B24,$B$351:$E$368,4,FALSE))</f>
        <v>1.5100000000000001E-2</v>
      </c>
      <c r="K24" s="203">
        <f>INDEX($R24:$AU38,$D24,10+VLOOKUP($B24,$B$351:$E$368,4,FALSE))</f>
        <v>7.83</v>
      </c>
      <c r="L24" s="203">
        <f>INDEX($R24:$AU38,$D24,13+VLOOKUP($B24,$B$351:$E$368,4,FALSE))</f>
        <v>1.54E-2</v>
      </c>
      <c r="M24" s="203">
        <f>INDEX($R24:$AU38,$D24,14+VLOOKUP($B24,$B$351:$E$368,4,FALSE))</f>
        <v>8.3800000000000008</v>
      </c>
      <c r="O24" s="210">
        <v>-40</v>
      </c>
      <c r="P24" s="211">
        <v>14.199696969696999</v>
      </c>
      <c r="Q24" s="212">
        <v>16.9910909090909</v>
      </c>
      <c r="R24" s="203">
        <f>ROUND((Q24-P24)/(Q23-P23),4)</f>
        <v>9.2999999999999992E-3</v>
      </c>
      <c r="S24" s="217">
        <f>ROUND(P24-P23*R24,2)</f>
        <v>6.29</v>
      </c>
      <c r="T24" s="211">
        <v>15.785696969697</v>
      </c>
      <c r="U24" s="212">
        <v>18.908121212121198</v>
      </c>
      <c r="V24" s="203">
        <f>ROUND((U24-T24)/(U23-T23),4)</f>
        <v>1.04E-2</v>
      </c>
      <c r="W24" s="217">
        <f>ROUND(T24-T23*V24,2)</f>
        <v>6.95</v>
      </c>
      <c r="X24" s="211">
        <v>15.843939393939401</v>
      </c>
      <c r="Y24" s="212">
        <v>18.947636363636398</v>
      </c>
      <c r="Z24" s="203">
        <f>ROUND((Y24-X24)/(Y23-X23),4)</f>
        <v>1.03E-2</v>
      </c>
      <c r="AA24" s="217">
        <f>ROUND(X24-X23*Z24,2)</f>
        <v>7.09</v>
      </c>
      <c r="AB24" s="211">
        <v>16.043757575757599</v>
      </c>
      <c r="AC24" s="212">
        <v>19.0787878787879</v>
      </c>
      <c r="AD24" s="203">
        <f>ROUND((AC24-AB24)/(AC23-AB23),4)</f>
        <v>1.01E-2</v>
      </c>
      <c r="AE24" s="217">
        <f>ROUND(AB24-AB23*AD24,2)</f>
        <v>7.46</v>
      </c>
      <c r="AF24" s="213">
        <v>19.374545454545501</v>
      </c>
      <c r="AG24" s="214">
        <v>23.635151515151499</v>
      </c>
      <c r="AH24" s="203">
        <f>ROUND((AG24-AF24)/(AG23-AF23),4)</f>
        <v>1.4200000000000001E-2</v>
      </c>
      <c r="AI24" s="217">
        <f>ROUND(AF24-AF23*AH24,2)</f>
        <v>7.3</v>
      </c>
      <c r="AJ24" s="211">
        <v>21.3369696969697</v>
      </c>
      <c r="AK24" s="212">
        <v>26.093333333333302</v>
      </c>
      <c r="AL24" s="203">
        <f>ROUND((AK24-AJ24)/(AK23-AJ23),4)</f>
        <v>1.5900000000000001E-2</v>
      </c>
      <c r="AM24" s="217">
        <f>ROUND(AJ24-AJ23*AL24,2)</f>
        <v>7.82</v>
      </c>
      <c r="AN24" s="211">
        <v>21.592727272727299</v>
      </c>
      <c r="AO24" s="212">
        <v>26.339393939394</v>
      </c>
      <c r="AP24" s="203">
        <f>ROUND((AO24-AN24)/(AO23-AN23),4)</f>
        <v>1.5800000000000002E-2</v>
      </c>
      <c r="AQ24" s="217">
        <f>ROUND(AN24-AN23*AP24,2)</f>
        <v>8.16</v>
      </c>
      <c r="AR24" s="211">
        <v>22.409696969696999</v>
      </c>
      <c r="AS24" s="212">
        <v>27.244242424242401</v>
      </c>
      <c r="AT24" s="203">
        <f>ROUND((AS24-AR24)/(AS23-AR23),4)</f>
        <v>1.61E-2</v>
      </c>
      <c r="AU24" s="217">
        <f>ROUND(AR24-AR23*AT24,2)</f>
        <v>8.7200000000000006</v>
      </c>
    </row>
    <row r="25" spans="1:47">
      <c r="A25" t="s">
        <v>251</v>
      </c>
      <c r="B25" s="163" t="e">
        <f>Задача_НагревательТеплоноситель</f>
        <v>#REF!</v>
      </c>
      <c r="D25" s="133">
        <v>3</v>
      </c>
      <c r="E25" s="133">
        <v>-30</v>
      </c>
      <c r="F25" s="203">
        <f>INDEX($R24:$AU38,$D25,1+VLOOKUP($B24,$B$351:$E$368,4,FALSE))</f>
        <v>1.2699999999999999E-2</v>
      </c>
      <c r="G25" s="203">
        <f>INDEX($R24:$AU38,$D25,2+VLOOKUP($B24,$B$351:$E$368,4,FALSE))</f>
        <v>6.71</v>
      </c>
      <c r="H25" s="203">
        <f>INDEX($R24:$AU38,$D25,5+VLOOKUP($B24,$B$351:$E$368,4,FALSE))</f>
        <v>1.43E-2</v>
      </c>
      <c r="I25" s="203">
        <f>INDEX($R24:$AU38,$D25,6+VLOOKUP($B24,$B$351:$E$368,4,FALSE))</f>
        <v>7.35</v>
      </c>
      <c r="J25" s="203">
        <f>INDEX($R24:$AU38,$D25,9+VLOOKUP($B24,$B$351:$E$368,4,FALSE))</f>
        <v>1.43E-2</v>
      </c>
      <c r="K25" s="203">
        <f>INDEX($R24:$AU38,$D25,10+VLOOKUP($B24,$B$351:$E$368,4,FALSE))</f>
        <v>7.55</v>
      </c>
      <c r="L25" s="203">
        <f>INDEX($R24:$AU38,$D25,13+VLOOKUP($B24,$B$351:$E$368,4,FALSE))</f>
        <v>1.47E-2</v>
      </c>
      <c r="M25" s="203">
        <f>INDEX($R24:$AU38,$D25,14+VLOOKUP($B24,$B$351:$E$368,4,FALSE))</f>
        <v>8.01</v>
      </c>
      <c r="O25" s="215">
        <v>-35</v>
      </c>
      <c r="P25" s="211">
        <v>13.4866666666667</v>
      </c>
      <c r="Q25" s="212">
        <v>16.134</v>
      </c>
      <c r="R25" s="203">
        <f>ROUND((Q25-P25)/(Q23-P23),4)</f>
        <v>8.8000000000000005E-3</v>
      </c>
      <c r="S25" s="217">
        <f>ROUND(P25-P23*R25,2)</f>
        <v>6.01</v>
      </c>
      <c r="T25" s="211">
        <v>15.0706666666667</v>
      </c>
      <c r="U25" s="212">
        <v>18.047333333333299</v>
      </c>
      <c r="V25" s="203">
        <f>ROUND((U25-T25)/(U23-T23),4)</f>
        <v>9.9000000000000008E-3</v>
      </c>
      <c r="W25" s="217">
        <f>ROUND(T25-T23*V25,2)</f>
        <v>6.66</v>
      </c>
      <c r="X25" s="211">
        <v>15.127333333333301</v>
      </c>
      <c r="Y25" s="212">
        <v>18.085999999999999</v>
      </c>
      <c r="Z25" s="203">
        <f>ROUND((Y25-X25)/(Y23-X23),4)</f>
        <v>9.9000000000000008E-3</v>
      </c>
      <c r="AA25" s="217">
        <f>ROUND(X25-X23*Z25,2)</f>
        <v>6.71</v>
      </c>
      <c r="AB25" s="211">
        <v>15.3333333333333</v>
      </c>
      <c r="AC25" s="212">
        <v>18.226666666666699</v>
      </c>
      <c r="AD25" s="203">
        <f>ROUND((AC25-AB25)/(AC23-AB23),4)</f>
        <v>9.5999999999999992E-3</v>
      </c>
      <c r="AE25" s="217">
        <f>ROUND(AB25-AB23*AD25,2)</f>
        <v>7.17</v>
      </c>
      <c r="AF25" s="213">
        <v>18.440000000000001</v>
      </c>
      <c r="AG25" s="214">
        <v>22.4866666666667</v>
      </c>
      <c r="AH25" s="203">
        <f>ROUND((AG25-AF25)/(AG23-AF23),4)</f>
        <v>1.35E-2</v>
      </c>
      <c r="AI25" s="217">
        <f>ROUND(AF25-AF23*AH25,2)</f>
        <v>6.97</v>
      </c>
      <c r="AJ25" s="211">
        <v>20.406666666666698</v>
      </c>
      <c r="AK25" s="212">
        <v>24.946666666666701</v>
      </c>
      <c r="AL25" s="203">
        <f>ROUND((AK25-AJ25)/(AK23-AJ23),4)</f>
        <v>1.5100000000000001E-2</v>
      </c>
      <c r="AM25" s="217">
        <f>ROUND(AJ25-AJ23*AL25,2)</f>
        <v>7.57</v>
      </c>
      <c r="AN25" s="211">
        <v>20.66</v>
      </c>
      <c r="AO25" s="212">
        <v>25.1933333333333</v>
      </c>
      <c r="AP25" s="203">
        <f>ROUND((AO25-AN25)/(AO23-AN23),4)</f>
        <v>1.5100000000000001E-2</v>
      </c>
      <c r="AQ25" s="217">
        <f>ROUND(AN25-AN23*AP25,2)</f>
        <v>7.83</v>
      </c>
      <c r="AR25" s="211">
        <v>21.466666666666701</v>
      </c>
      <c r="AS25" s="212">
        <v>26.086666666666702</v>
      </c>
      <c r="AT25" s="203">
        <f>ROUND((AS25-AR25)/(AS23-AR23),4)</f>
        <v>1.54E-2</v>
      </c>
      <c r="AU25" s="217">
        <f>ROUND(AR25-AR23*AT25,2)</f>
        <v>8.3800000000000008</v>
      </c>
    </row>
    <row r="26" spans="1:47">
      <c r="A26" t="s">
        <v>253</v>
      </c>
      <c r="B26" s="163" t="e">
        <f>VLOOKUP("400x200",ПП_Расчет!C$10:F$19,4,0)</f>
        <v>#REF!</v>
      </c>
      <c r="D26" s="133">
        <v>4</v>
      </c>
      <c r="E26" s="133">
        <v>-25</v>
      </c>
      <c r="F26" s="203">
        <f>INDEX($R24:$AU38,$D26,1+VLOOKUP($B24,$B$351:$E$368,4,FALSE))</f>
        <v>1.23E-2</v>
      </c>
      <c r="G26" s="203">
        <f>INDEX($R24:$AU38,$D26,2+VLOOKUP($B24,$B$351:$E$368,4,FALSE))</f>
        <v>6.15</v>
      </c>
      <c r="H26" s="203">
        <f>INDEX($R24:$AU38,$D26,5+VLOOKUP($B24,$B$351:$E$368,4,FALSE))</f>
        <v>1.37E-2</v>
      </c>
      <c r="I26" s="203">
        <f>INDEX($R24:$AU38,$D26,6+VLOOKUP($B24,$B$351:$E$368,4,FALSE))</f>
        <v>6.86</v>
      </c>
      <c r="J26" s="203">
        <f>INDEX($R24:$AU38,$D26,9+VLOOKUP($B24,$B$351:$E$368,4,FALSE))</f>
        <v>1.37E-2</v>
      </c>
      <c r="K26" s="203">
        <f>INDEX($R24:$AU38,$D26,10+VLOOKUP($B24,$B$351:$E$368,4,FALSE))</f>
        <v>7.16</v>
      </c>
      <c r="L26" s="203">
        <f>INDEX($R24:$AU38,$D26,13+VLOOKUP($B24,$B$351:$E$368,4,FALSE))</f>
        <v>1.4E-2</v>
      </c>
      <c r="M26" s="203">
        <f>INDEX($R24:$AU38,$D26,14+VLOOKUP($B24,$B$351:$E$368,4,FALSE))</f>
        <v>7.7</v>
      </c>
      <c r="O26" s="215">
        <v>-30</v>
      </c>
      <c r="P26" s="211">
        <v>12.8</v>
      </c>
      <c r="Q26" s="212">
        <v>15.3</v>
      </c>
      <c r="R26" s="203">
        <f>ROUND((Q26-P26)/(Q23-P23),4)</f>
        <v>8.3000000000000001E-3</v>
      </c>
      <c r="S26" s="217">
        <f>ROUND(P26-P23*R26,2)</f>
        <v>5.75</v>
      </c>
      <c r="T26" s="211">
        <v>14.4</v>
      </c>
      <c r="U26" s="212">
        <v>17.2</v>
      </c>
      <c r="V26" s="203">
        <f>ROUND((U26-T26)/(U23-T23),4)</f>
        <v>9.2999999999999992E-3</v>
      </c>
      <c r="W26" s="217">
        <f>ROUND(T26-T23*V26,2)</f>
        <v>6.5</v>
      </c>
      <c r="X26" s="211">
        <v>14.4</v>
      </c>
      <c r="Y26" s="212">
        <v>17.2</v>
      </c>
      <c r="Z26" s="203">
        <f>ROUND((Y26-X26)/(Y23-X23),4)</f>
        <v>9.2999999999999992E-3</v>
      </c>
      <c r="AA26" s="217">
        <f>ROUND(X26-X23*Z26,2)</f>
        <v>6.5</v>
      </c>
      <c r="AB26" s="211">
        <v>14.6</v>
      </c>
      <c r="AC26" s="212">
        <v>17.399999999999999</v>
      </c>
      <c r="AD26" s="203">
        <f>ROUND((AC26-AB26)/(AC23-AB23),4)</f>
        <v>9.2999999999999992E-3</v>
      </c>
      <c r="AE26" s="217">
        <f>ROUND(AB26-AB23*AD26,2)</f>
        <v>6.7</v>
      </c>
      <c r="AF26" s="213">
        <v>17.5</v>
      </c>
      <c r="AG26" s="214">
        <v>21.3</v>
      </c>
      <c r="AH26" s="203">
        <f>ROUND((AG26-AF26)/(AG23-AF23),4)</f>
        <v>1.2699999999999999E-2</v>
      </c>
      <c r="AI26" s="217">
        <f>ROUND(AF26-AF23*AH26,2)</f>
        <v>6.71</v>
      </c>
      <c r="AJ26" s="211">
        <v>19.5</v>
      </c>
      <c r="AK26" s="212">
        <v>23.8</v>
      </c>
      <c r="AL26" s="203">
        <f>ROUND((AK26-AJ26)/(AK23-AJ23),4)</f>
        <v>1.43E-2</v>
      </c>
      <c r="AM26" s="217">
        <f>ROUND(AJ26-AJ23*AL26,2)</f>
        <v>7.35</v>
      </c>
      <c r="AN26" s="211">
        <v>19.7</v>
      </c>
      <c r="AO26" s="212">
        <v>24</v>
      </c>
      <c r="AP26" s="203">
        <f>ROUND((AO26-AN26)/(AO23-AN23),4)</f>
        <v>1.43E-2</v>
      </c>
      <c r="AQ26" s="217">
        <f>ROUND(AN26-AN23*AP26,2)</f>
        <v>7.55</v>
      </c>
      <c r="AR26" s="211">
        <v>20.5</v>
      </c>
      <c r="AS26" s="212">
        <v>24.9</v>
      </c>
      <c r="AT26" s="203">
        <f>ROUND((AS26-AR26)/(AS23-AR23),4)</f>
        <v>1.47E-2</v>
      </c>
      <c r="AU26" s="217">
        <f>ROUND(AR26-AR23*AT26,2)</f>
        <v>8.01</v>
      </c>
    </row>
    <row r="27" spans="1:47">
      <c r="D27" s="133">
        <v>5</v>
      </c>
      <c r="E27" s="133">
        <v>-20</v>
      </c>
      <c r="F27" s="203">
        <f>INDEX($R24:$AU38,$D27,1+VLOOKUP($B24,$B$351:$E$368,4,FALSE))</f>
        <v>1.1299999999999999E-2</v>
      </c>
      <c r="G27" s="203">
        <f>INDEX($R24:$AU38,$D27,2+VLOOKUP($B24,$B$351:$E$368,4,FALSE))</f>
        <v>6</v>
      </c>
      <c r="H27" s="203">
        <f>INDEX($R24:$AU38,$D27,5+VLOOKUP($B24,$B$351:$E$368,4,FALSE))</f>
        <v>1.3299999999999999E-2</v>
      </c>
      <c r="I27" s="203">
        <f>INDEX($R24:$AU38,$D27,6+VLOOKUP($B24,$B$351:$E$368,4,FALSE))</f>
        <v>6.3</v>
      </c>
      <c r="J27" s="203">
        <f>INDEX($R24:$AU38,$D27,9+VLOOKUP($B24,$B$351:$E$368,4,FALSE))</f>
        <v>1.2999999999999999E-2</v>
      </c>
      <c r="K27" s="203">
        <f>INDEX($R24:$AU38,$D27,10+VLOOKUP($B24,$B$351:$E$368,4,FALSE))</f>
        <v>6.85</v>
      </c>
      <c r="L27" s="203">
        <f>INDEX($R24:$AU38,$D27,13+VLOOKUP($B24,$B$351:$E$368,4,FALSE))</f>
        <v>1.3299999999999999E-2</v>
      </c>
      <c r="M27" s="203">
        <f>INDEX($R24:$AU38,$D27,14+VLOOKUP($B24,$B$351:$E$368,4,FALSE))</f>
        <v>7.3</v>
      </c>
      <c r="O27" s="215">
        <v>-25</v>
      </c>
      <c r="P27" s="211">
        <v>12.1</v>
      </c>
      <c r="Q27" s="212">
        <v>14.4</v>
      </c>
      <c r="R27" s="203">
        <f>ROUND((Q27-P27)/(Q23-P23),4)</f>
        <v>7.7000000000000002E-3</v>
      </c>
      <c r="S27" s="217">
        <f>ROUND(P27-P23*R27,2)</f>
        <v>5.56</v>
      </c>
      <c r="T27" s="211">
        <v>13.6</v>
      </c>
      <c r="U27" s="212">
        <v>16.3</v>
      </c>
      <c r="V27" s="203">
        <f>ROUND((U27-T27)/(U23-T23),4)</f>
        <v>8.9999999999999993E-3</v>
      </c>
      <c r="W27" s="217">
        <f>ROUND(T27-T23*V27,2)</f>
        <v>5.95</v>
      </c>
      <c r="X27" s="211">
        <v>13.7</v>
      </c>
      <c r="Y27" s="212">
        <v>16.399999999999999</v>
      </c>
      <c r="Z27" s="203">
        <f>ROUND((Y27-X27)/(Y23-X23),4)</f>
        <v>8.9999999999999993E-3</v>
      </c>
      <c r="AA27" s="217">
        <f>ROUND(X27-X23*Z27,2)</f>
        <v>6.05</v>
      </c>
      <c r="AB27" s="211">
        <v>13.9</v>
      </c>
      <c r="AC27" s="212">
        <v>16.600000000000001</v>
      </c>
      <c r="AD27" s="203">
        <f>ROUND((AC27-AB27)/(AC23-AB23),4)</f>
        <v>8.9999999999999993E-3</v>
      </c>
      <c r="AE27" s="217">
        <f>ROUND(AB27-AB23*AD27,2)</f>
        <v>6.25</v>
      </c>
      <c r="AF27" s="213">
        <v>16.600000000000001</v>
      </c>
      <c r="AG27" s="214">
        <v>20.3</v>
      </c>
      <c r="AH27" s="203">
        <f>ROUND((AG27-AF27)/(AG23-AF23),4)</f>
        <v>1.23E-2</v>
      </c>
      <c r="AI27" s="217">
        <f>ROUND(AF27-AF23*AH27,2)</f>
        <v>6.15</v>
      </c>
      <c r="AJ27" s="211">
        <v>18.5</v>
      </c>
      <c r="AK27" s="212">
        <v>22.6</v>
      </c>
      <c r="AL27" s="203">
        <f>ROUND((AK27-AJ27)/(AK23-AJ23),4)</f>
        <v>1.37E-2</v>
      </c>
      <c r="AM27" s="217">
        <f>ROUND(AJ27-AJ23*AL27,2)</f>
        <v>6.86</v>
      </c>
      <c r="AN27" s="211">
        <v>18.8</v>
      </c>
      <c r="AO27" s="212">
        <v>22.9</v>
      </c>
      <c r="AP27" s="203">
        <f>ROUND((AO27-AN27)/(AO23-AN23),4)</f>
        <v>1.37E-2</v>
      </c>
      <c r="AQ27" s="217">
        <f>ROUND(AN27-AN23*AP27,2)</f>
        <v>7.16</v>
      </c>
      <c r="AR27" s="211">
        <v>19.600000000000001</v>
      </c>
      <c r="AS27" s="212">
        <v>23.8</v>
      </c>
      <c r="AT27" s="203">
        <f>ROUND((AS27-AR27)/(AS23-AR23),4)</f>
        <v>1.4E-2</v>
      </c>
      <c r="AU27" s="217">
        <f>ROUND(AR27-AR23*AT27,2)</f>
        <v>7.7</v>
      </c>
    </row>
    <row r="28" spans="1:47">
      <c r="A28" t="s">
        <v>66</v>
      </c>
      <c r="B28" s="163" t="e">
        <f>VLOOKUP(B26,E23:M37,VLOOKUP(B25,B$345:D$348,2,FALSE))</f>
        <v>#REF!</v>
      </c>
      <c r="D28" s="133">
        <v>6</v>
      </c>
      <c r="E28" s="133">
        <v>-15</v>
      </c>
      <c r="F28" s="203">
        <f>INDEX($R24:$AU38,$D28,1+VLOOKUP($B24,$B$351:$E$368,4,FALSE))</f>
        <v>1.0699999999999999E-2</v>
      </c>
      <c r="G28" s="203">
        <f>INDEX($R24:$AU38,$D28,2+VLOOKUP($B24,$B$351:$E$368,4,FALSE))</f>
        <v>5.61</v>
      </c>
      <c r="H28" s="203">
        <f>INDEX($R24:$AU38,$D28,5+VLOOKUP($B24,$B$351:$E$368,4,FALSE))</f>
        <v>1.2E-2</v>
      </c>
      <c r="I28" s="203">
        <f>INDEX($R24:$AU38,$D28,6+VLOOKUP($B24,$B$351:$E$368,4,FALSE))</f>
        <v>6.5</v>
      </c>
      <c r="J28" s="203">
        <f>INDEX($R24:$AU38,$D28,9+VLOOKUP($B24,$B$351:$E$368,4,FALSE))</f>
        <v>1.23E-2</v>
      </c>
      <c r="K28" s="203">
        <f>INDEX($R24:$AU38,$D28,10+VLOOKUP($B24,$B$351:$E$368,4,FALSE))</f>
        <v>6.45</v>
      </c>
      <c r="L28" s="203">
        <f>INDEX($R24:$AU38,$D28,13+VLOOKUP($B24,$B$351:$E$368,4,FALSE))</f>
        <v>1.2699999999999999E-2</v>
      </c>
      <c r="M28" s="203">
        <f>INDEX($R24:$AU38,$D28,14+VLOOKUP($B24,$B$351:$E$368,4,FALSE))</f>
        <v>6.91</v>
      </c>
      <c r="O28" s="215">
        <v>-20</v>
      </c>
      <c r="P28" s="211">
        <v>11.3</v>
      </c>
      <c r="Q28" s="212">
        <v>13.6</v>
      </c>
      <c r="R28" s="203">
        <f>ROUND((Q28-P28)/(Q23-P23),4)</f>
        <v>7.7000000000000002E-3</v>
      </c>
      <c r="S28" s="217">
        <f>ROUND(P28-P23*R28,2)</f>
        <v>4.76</v>
      </c>
      <c r="T28" s="211">
        <v>12.9</v>
      </c>
      <c r="U28" s="212">
        <v>15.5</v>
      </c>
      <c r="V28" s="203">
        <f>ROUND((U28-T28)/(U23-T23),4)</f>
        <v>8.6999999999999994E-3</v>
      </c>
      <c r="W28" s="217">
        <f>ROUND(T28-T23*V28,2)</f>
        <v>5.51</v>
      </c>
      <c r="X28" s="211">
        <v>13</v>
      </c>
      <c r="Y28" s="212">
        <v>15.5</v>
      </c>
      <c r="Z28" s="203">
        <f>ROUND((Y28-X28)/(Y23-X23),4)</f>
        <v>8.3000000000000001E-3</v>
      </c>
      <c r="AA28" s="217">
        <f>ROUND(X28-X23*Z28,2)</f>
        <v>5.95</v>
      </c>
      <c r="AB28" s="211">
        <v>13.2</v>
      </c>
      <c r="AC28" s="212">
        <v>15.7</v>
      </c>
      <c r="AD28" s="203">
        <f>ROUND((AC28-AB28)/(AC23-AB23),4)</f>
        <v>8.3000000000000001E-3</v>
      </c>
      <c r="AE28" s="217">
        <f>ROUND(AB28-AB23*AD28,2)</f>
        <v>6.15</v>
      </c>
      <c r="AF28" s="213">
        <v>15.6</v>
      </c>
      <c r="AG28" s="214">
        <v>19</v>
      </c>
      <c r="AH28" s="203">
        <f>ROUND((AG28-AF28)/(AG23-AF23),4)</f>
        <v>1.1299999999999999E-2</v>
      </c>
      <c r="AI28" s="217">
        <f>ROUND(AF28-AF23*AH28,2)</f>
        <v>6</v>
      </c>
      <c r="AJ28" s="211">
        <v>17.600000000000001</v>
      </c>
      <c r="AK28" s="212">
        <v>21.6</v>
      </c>
      <c r="AL28" s="203">
        <f>ROUND((AK28-AJ28)/(AK23-AJ23),4)</f>
        <v>1.3299999999999999E-2</v>
      </c>
      <c r="AM28" s="217">
        <f>ROUND(AJ28-AJ23*AL28,2)</f>
        <v>6.3</v>
      </c>
      <c r="AN28" s="211">
        <v>17.899999999999999</v>
      </c>
      <c r="AO28" s="212">
        <v>21.8</v>
      </c>
      <c r="AP28" s="203">
        <f>ROUND((AO28-AN28)/(AO23-AN23),4)</f>
        <v>1.2999999999999999E-2</v>
      </c>
      <c r="AQ28" s="217">
        <f>ROUND(AN28-AN23*AP28,2)</f>
        <v>6.85</v>
      </c>
      <c r="AR28" s="211">
        <v>18.600000000000001</v>
      </c>
      <c r="AS28" s="212">
        <v>22.6</v>
      </c>
      <c r="AT28" s="203">
        <f>ROUND((AS28-AR28)/(AS23-AR23),4)</f>
        <v>1.3299999999999999E-2</v>
      </c>
      <c r="AU28" s="217">
        <f>ROUND(AR28-AR23*AT28,2)</f>
        <v>7.3</v>
      </c>
    </row>
    <row r="29" spans="1:47">
      <c r="A29" t="s">
        <v>249</v>
      </c>
      <c r="B29" s="163" t="e">
        <f>VLOOKUP(B26,E23:M37,VLOOKUP(B25,B$345:D$348,3,FALSE))</f>
        <v>#REF!</v>
      </c>
      <c r="D29" s="133">
        <v>7</v>
      </c>
      <c r="E29" s="133">
        <v>-10</v>
      </c>
      <c r="F29" s="203">
        <f>INDEX($R24:$AU38,$D29,1+VLOOKUP($B24,$B$351:$E$368,4,FALSE))</f>
        <v>9.7000000000000003E-3</v>
      </c>
      <c r="G29" s="203">
        <f>INDEX($R24:$AU38,$D29,2+VLOOKUP($B24,$B$351:$E$368,4,FALSE))</f>
        <v>5.56</v>
      </c>
      <c r="H29" s="203">
        <f>INDEX($R24:$AU38,$D29,5+VLOOKUP($B24,$B$351:$E$368,4,FALSE))</f>
        <v>1.17E-2</v>
      </c>
      <c r="I29" s="203">
        <f>INDEX($R24:$AU38,$D29,6+VLOOKUP($B24,$B$351:$E$368,4,FALSE))</f>
        <v>5.86</v>
      </c>
      <c r="J29" s="203">
        <f>INDEX($R24:$AU38,$D29,9+VLOOKUP($B24,$B$351:$E$368,4,FALSE))</f>
        <v>1.17E-2</v>
      </c>
      <c r="K29" s="203">
        <f>INDEX($R24:$AU38,$D29,10+VLOOKUP($B24,$B$351:$E$368,4,FALSE))</f>
        <v>6.06</v>
      </c>
      <c r="L29" s="203">
        <f>INDEX($R24:$AU38,$D29,13+VLOOKUP($B24,$B$351:$E$368,4,FALSE))</f>
        <v>1.17E-2</v>
      </c>
      <c r="M29" s="203">
        <f>INDEX($R24:$AU38,$D29,14+VLOOKUP($B24,$B$351:$E$368,4,FALSE))</f>
        <v>6.86</v>
      </c>
      <c r="O29" s="215">
        <v>-15</v>
      </c>
      <c r="P29" s="211">
        <v>10.6</v>
      </c>
      <c r="Q29" s="212">
        <v>12.7</v>
      </c>
      <c r="R29" s="203">
        <f>ROUND((Q29-P29)/(Q23-P23),4)</f>
        <v>7.0000000000000001E-3</v>
      </c>
      <c r="S29" s="217">
        <f>ROUND(P29-P23*R29,2)</f>
        <v>4.6500000000000004</v>
      </c>
      <c r="T29" s="211">
        <v>12.2</v>
      </c>
      <c r="U29" s="212">
        <v>14.6</v>
      </c>
      <c r="V29" s="203">
        <f>ROUND((U29-T29)/(U23-T23),4)</f>
        <v>8.0000000000000002E-3</v>
      </c>
      <c r="W29" s="217">
        <f>ROUND(T29-T23*V29,2)</f>
        <v>5.4</v>
      </c>
      <c r="X29" s="211">
        <v>12.3</v>
      </c>
      <c r="Y29" s="212">
        <v>14.6</v>
      </c>
      <c r="Z29" s="203">
        <f>ROUND((Y29-X29)/(Y23-X23),4)</f>
        <v>7.7000000000000002E-3</v>
      </c>
      <c r="AA29" s="217">
        <f>ROUND(X29-X23*Z29,2)</f>
        <v>5.76</v>
      </c>
      <c r="AB29" s="211">
        <v>12.5</v>
      </c>
      <c r="AC29" s="212">
        <v>14.6</v>
      </c>
      <c r="AD29" s="203">
        <f>ROUND((AC29-AB29)/(AC23-AB23),4)</f>
        <v>7.0000000000000001E-3</v>
      </c>
      <c r="AE29" s="217">
        <f>ROUND(AB29-AB23*AD29,2)</f>
        <v>6.55</v>
      </c>
      <c r="AF29" s="213">
        <v>14.7</v>
      </c>
      <c r="AG29" s="214">
        <v>17.899999999999999</v>
      </c>
      <c r="AH29" s="203">
        <f>ROUND((AG29-AF29)/(AG23-AF23),4)</f>
        <v>1.0699999999999999E-2</v>
      </c>
      <c r="AI29" s="217">
        <f>ROUND(AF29-AF23*AH29,2)</f>
        <v>5.61</v>
      </c>
      <c r="AJ29" s="211">
        <v>16.7</v>
      </c>
      <c r="AK29" s="212">
        <v>20.3</v>
      </c>
      <c r="AL29" s="203">
        <f>ROUND((AK29-AJ29)/(AK23-AJ23),4)</f>
        <v>1.2E-2</v>
      </c>
      <c r="AM29" s="217">
        <f>ROUND(AJ29-AJ23*AL29,2)</f>
        <v>6.5</v>
      </c>
      <c r="AN29" s="211">
        <v>16.899999999999999</v>
      </c>
      <c r="AO29" s="212">
        <v>20.6</v>
      </c>
      <c r="AP29" s="203">
        <f>ROUND((AO29-AN29)/(AO23-AN23),4)</f>
        <v>1.23E-2</v>
      </c>
      <c r="AQ29" s="217">
        <f>ROUND(AN29-AN23*AP29,2)</f>
        <v>6.45</v>
      </c>
      <c r="AR29" s="211">
        <v>17.7</v>
      </c>
      <c r="AS29" s="212">
        <v>21.5</v>
      </c>
      <c r="AT29" s="203">
        <f>ROUND((AS29-AR29)/(AS23-AR23),4)</f>
        <v>1.2699999999999999E-2</v>
      </c>
      <c r="AU29" s="217">
        <f>ROUND(AR29-AR23*AT29,2)</f>
        <v>6.91</v>
      </c>
    </row>
    <row r="30" spans="1:47">
      <c r="D30" s="133">
        <v>8</v>
      </c>
      <c r="E30" s="133">
        <v>-5</v>
      </c>
      <c r="F30" s="203">
        <f>INDEX($R24:$AU38,$D30,1+VLOOKUP($B24,$B$351:$E$368,4,FALSE))</f>
        <v>9.2999999999999992E-3</v>
      </c>
      <c r="G30" s="203">
        <f>INDEX($R24:$AU38,$D30,2+VLOOKUP($B24,$B$351:$E$368,4,FALSE))</f>
        <v>4.9000000000000004</v>
      </c>
      <c r="H30" s="203">
        <f>INDEX($R24:$AU38,$D30,5+VLOOKUP($B24,$B$351:$E$368,4,FALSE))</f>
        <v>1.0699999999999999E-2</v>
      </c>
      <c r="I30" s="203">
        <f>INDEX($R24:$AU38,$D30,6+VLOOKUP($B24,$B$351:$E$368,4,FALSE))</f>
        <v>5.71</v>
      </c>
      <c r="J30" s="203">
        <f>INDEX($R24:$AU38,$D30,9+VLOOKUP($B24,$B$351:$E$368,4,FALSE))</f>
        <v>1.0699999999999999E-2</v>
      </c>
      <c r="K30" s="203">
        <f>INDEX($R24:$AU38,$D30,10+VLOOKUP($B24,$B$351:$E$368,4,FALSE))</f>
        <v>6.01</v>
      </c>
      <c r="L30" s="203">
        <f>INDEX($R24:$AU38,$D30,13+VLOOKUP($B24,$B$351:$E$368,4,FALSE))</f>
        <v>1.0999999999999999E-2</v>
      </c>
      <c r="M30" s="203">
        <f>INDEX($R24:$AU38,$D30,14+VLOOKUP($B24,$B$351:$E$368,4,FALSE))</f>
        <v>6.45</v>
      </c>
      <c r="O30" s="215">
        <v>-10</v>
      </c>
      <c r="P30" s="211">
        <v>9.92</v>
      </c>
      <c r="Q30" s="212">
        <v>11.8</v>
      </c>
      <c r="R30" s="203">
        <f>ROUND((Q30-P30)/(Q23-P23),4)</f>
        <v>6.3E-3</v>
      </c>
      <c r="S30" s="217">
        <f>ROUND(P30-P23*R30,2)</f>
        <v>4.57</v>
      </c>
      <c r="T30" s="211">
        <v>11.5</v>
      </c>
      <c r="U30" s="212">
        <v>13.7</v>
      </c>
      <c r="V30" s="203">
        <f>ROUND((U30-T30)/(U23-T23),4)</f>
        <v>7.3000000000000001E-3</v>
      </c>
      <c r="W30" s="217">
        <f>ROUND(T30-T23*V30,2)</f>
        <v>5.3</v>
      </c>
      <c r="X30" s="211">
        <v>11.5</v>
      </c>
      <c r="Y30" s="212">
        <v>13.8</v>
      </c>
      <c r="Z30" s="203">
        <f>ROUND((Y30-X30)/(Y23-X23),4)</f>
        <v>7.7000000000000002E-3</v>
      </c>
      <c r="AA30" s="217">
        <f>ROUND(X30-X23*Z30,2)</f>
        <v>4.96</v>
      </c>
      <c r="AB30" s="211">
        <v>11.8</v>
      </c>
      <c r="AC30" s="212">
        <v>14</v>
      </c>
      <c r="AD30" s="203">
        <f>ROUND((AC30-AB30)/(AC23-AB23),4)</f>
        <v>7.3000000000000001E-3</v>
      </c>
      <c r="AE30" s="217">
        <f>ROUND(AB30-AB23*AD30,2)</f>
        <v>5.6</v>
      </c>
      <c r="AF30" s="213">
        <v>13.8</v>
      </c>
      <c r="AG30" s="214">
        <v>16.7</v>
      </c>
      <c r="AH30" s="203">
        <f>ROUND((AG30-AF30)/(AG23-AF23),4)</f>
        <v>9.7000000000000003E-3</v>
      </c>
      <c r="AI30" s="217">
        <f>ROUND(AF30-AF23*AH30,2)</f>
        <v>5.56</v>
      </c>
      <c r="AJ30" s="211">
        <v>15.8</v>
      </c>
      <c r="AK30" s="212">
        <v>19.3</v>
      </c>
      <c r="AL30" s="203">
        <f>ROUND((AK30-AJ30)/(AK23-AJ23),4)</f>
        <v>1.17E-2</v>
      </c>
      <c r="AM30" s="217">
        <f>ROUND(AJ30-AJ23*AL30,2)</f>
        <v>5.86</v>
      </c>
      <c r="AN30" s="211">
        <v>16</v>
      </c>
      <c r="AO30" s="212">
        <v>19.5</v>
      </c>
      <c r="AP30" s="203">
        <f>ROUND((AO30-AN30)/(AO23-AN23),4)</f>
        <v>1.17E-2</v>
      </c>
      <c r="AQ30" s="217">
        <f>ROUND(AN30-AN23*AP30,2)</f>
        <v>6.06</v>
      </c>
      <c r="AR30" s="211">
        <v>16.8</v>
      </c>
      <c r="AS30" s="212">
        <v>20.3</v>
      </c>
      <c r="AT30" s="203">
        <f>ROUND((AS30-AR30)/(AS23-AR23),4)</f>
        <v>1.17E-2</v>
      </c>
      <c r="AU30" s="217">
        <f>ROUND(AR30-AR23*AT30,2)</f>
        <v>6.86</v>
      </c>
    </row>
    <row r="31" spans="1:47">
      <c r="A31" t="s">
        <v>254</v>
      </c>
      <c r="B31" s="163" t="e">
        <f>B23*B28+B29</f>
        <v>#REF!</v>
      </c>
      <c r="D31" s="133">
        <v>9</v>
      </c>
      <c r="E31" s="133">
        <v>0</v>
      </c>
      <c r="F31" s="203">
        <f>INDEX($R24:$AU38,$D31,1+VLOOKUP($B24,$B$351:$E$368,4,FALSE))</f>
        <v>8.3000000000000001E-3</v>
      </c>
      <c r="G31" s="203">
        <f>INDEX($R24:$AU38,$D31,2+VLOOKUP($B24,$B$351:$E$368,4,FALSE))</f>
        <v>4.8499999999999996</v>
      </c>
      <c r="H31" s="203">
        <f>INDEX($R24:$AU38,$D31,5+VLOOKUP($B24,$B$351:$E$368,4,FALSE))</f>
        <v>0.01</v>
      </c>
      <c r="I31" s="203">
        <f>INDEX($R24:$AU38,$D31,6+VLOOKUP($B24,$B$351:$E$368,4,FALSE))</f>
        <v>5.4</v>
      </c>
      <c r="J31" s="203">
        <f>INDEX($R24:$AU38,$D31,9+VLOOKUP($B24,$B$351:$E$368,4,FALSE))</f>
        <v>1.03E-2</v>
      </c>
      <c r="K31" s="203">
        <f>INDEX($R24:$AU38,$D31,10+VLOOKUP($B24,$B$351:$E$368,4,FALSE))</f>
        <v>5.35</v>
      </c>
      <c r="L31" s="203">
        <f>INDEX($R24:$AU38,$D31,13+VLOOKUP($B24,$B$351:$E$368,4,FALSE))</f>
        <v>1.03E-2</v>
      </c>
      <c r="M31" s="203">
        <f>INDEX($R24:$AU38,$D31,14+VLOOKUP($B24,$B$351:$E$368,4,FALSE))</f>
        <v>6.15</v>
      </c>
      <c r="O31" s="215">
        <v>-5</v>
      </c>
      <c r="P31" s="211">
        <v>9.1999999999999993</v>
      </c>
      <c r="Q31" s="212">
        <v>11</v>
      </c>
      <c r="R31" s="203">
        <f>ROUND((Q31-P31)/(Q23-P23),4)</f>
        <v>6.0000000000000001E-3</v>
      </c>
      <c r="S31" s="217">
        <f>ROUND(P31-P23*R31,2)</f>
        <v>4.0999999999999996</v>
      </c>
      <c r="T31" s="211">
        <v>10.8</v>
      </c>
      <c r="U31" s="212">
        <v>12.9</v>
      </c>
      <c r="V31" s="203">
        <f>ROUND((U31-T31)/(U23-T23),4)</f>
        <v>7.0000000000000001E-3</v>
      </c>
      <c r="W31" s="217">
        <f>ROUND(T31-T23*V31,2)</f>
        <v>4.8499999999999996</v>
      </c>
      <c r="X31" s="211">
        <v>10.8</v>
      </c>
      <c r="Y31" s="212">
        <v>12.9</v>
      </c>
      <c r="Z31" s="203">
        <f>ROUND((Y31-X31)/(Y23-X23),4)</f>
        <v>7.0000000000000001E-3</v>
      </c>
      <c r="AA31" s="217">
        <f>ROUND(X31-X23*Z31,2)</f>
        <v>4.8499999999999996</v>
      </c>
      <c r="AB31" s="211">
        <v>11.1</v>
      </c>
      <c r="AC31" s="212">
        <v>13.1</v>
      </c>
      <c r="AD31" s="203">
        <f>ROUND((AC31-AB31)/(AC23-AB23),4)</f>
        <v>6.7000000000000002E-3</v>
      </c>
      <c r="AE31" s="217">
        <f>ROUND(AB31-AB23*AD31,2)</f>
        <v>5.41</v>
      </c>
      <c r="AF31" s="211">
        <v>12.8</v>
      </c>
      <c r="AG31" s="212">
        <v>15.6</v>
      </c>
      <c r="AH31" s="203">
        <f>ROUND((AG31-AF31)/(AG23-AF23),4)</f>
        <v>9.2999999999999992E-3</v>
      </c>
      <c r="AI31" s="217">
        <f>ROUND(AF31-AF23*AH31,2)</f>
        <v>4.9000000000000004</v>
      </c>
      <c r="AJ31" s="211">
        <v>14.8</v>
      </c>
      <c r="AK31" s="212">
        <v>18</v>
      </c>
      <c r="AL31" s="203">
        <f>ROUND((AK31-AJ31)/(AK23-AJ23),4)</f>
        <v>1.0699999999999999E-2</v>
      </c>
      <c r="AM31" s="217">
        <f>ROUND(AJ31-AJ23*AL31,2)</f>
        <v>5.71</v>
      </c>
      <c r="AN31" s="211">
        <v>15.1</v>
      </c>
      <c r="AO31" s="212">
        <v>18.3</v>
      </c>
      <c r="AP31" s="203">
        <f>ROUND((AO31-AN31)/(AO23-AN23),4)</f>
        <v>1.0699999999999999E-2</v>
      </c>
      <c r="AQ31" s="217">
        <f>ROUND(AN31-AN23*AP31,2)</f>
        <v>6.01</v>
      </c>
      <c r="AR31" s="211">
        <v>15.8</v>
      </c>
      <c r="AS31" s="214">
        <v>19.100000000000001</v>
      </c>
      <c r="AT31" s="203">
        <f>ROUND((AS31-AR31)/(AS23-AR23),4)</f>
        <v>1.0999999999999999E-2</v>
      </c>
      <c r="AU31" s="217">
        <f>ROUND(AR31-AR23*AT31,2)</f>
        <v>6.45</v>
      </c>
    </row>
    <row r="32" spans="1:47">
      <c r="A32" t="s">
        <v>255</v>
      </c>
      <c r="B32" s="163" t="e">
        <f>ROUND(B31/(0.000335*B23),1)+B26</f>
        <v>#REF!</v>
      </c>
      <c r="D32" s="133">
        <v>10</v>
      </c>
      <c r="E32" s="133">
        <v>5</v>
      </c>
      <c r="F32" s="203">
        <f>INDEX($R24:$AU38,$D32,1+VLOOKUP($B24,$B$351:$E$368,4,FALSE))</f>
        <v>7.7000000000000002E-3</v>
      </c>
      <c r="G32" s="203">
        <f>INDEX($R24:$AU38,$D32,2+VLOOKUP($B24,$B$351:$E$368,4,FALSE))</f>
        <v>4.46</v>
      </c>
      <c r="H32" s="203">
        <f>INDEX($R24:$AU38,$D32,5+VLOOKUP($B24,$B$351:$E$368,4,FALSE))</f>
        <v>9.2999999999999992E-3</v>
      </c>
      <c r="I32" s="203">
        <f>INDEX($R24:$AU38,$D32,6+VLOOKUP($B24,$B$351:$E$368,4,FALSE))</f>
        <v>5.0999999999999996</v>
      </c>
      <c r="J32" s="203">
        <f>INDEX($R24:$AU38,$D32,9+VLOOKUP($B24,$B$351:$E$368,4,FALSE))</f>
        <v>9.2999999999999992E-3</v>
      </c>
      <c r="K32" s="203">
        <f>INDEX($R24:$AU38,$D32,10+VLOOKUP($B24,$B$351:$E$368,4,FALSE))</f>
        <v>5.3</v>
      </c>
      <c r="L32" s="203">
        <f>INDEX($R24:$AU38,$D32,13+VLOOKUP($B24,$B$351:$E$368,4,FALSE))</f>
        <v>9.7000000000000003E-3</v>
      </c>
      <c r="M32" s="203">
        <f>INDEX($R24:$AU38,$D32,14+VLOOKUP($B24,$B$351:$E$368,4,FALSE))</f>
        <v>5.66</v>
      </c>
      <c r="O32" s="215">
        <v>0</v>
      </c>
      <c r="P32" s="211">
        <v>8.5</v>
      </c>
      <c r="Q32" s="212">
        <v>10.1</v>
      </c>
      <c r="R32" s="203">
        <f>ROUND((Q32-P32)/(Q23-P23),4)</f>
        <v>5.3E-3</v>
      </c>
      <c r="S32" s="217">
        <f>ROUND(P32-P23*R32,2)</f>
        <v>4</v>
      </c>
      <c r="T32" s="211">
        <v>10.1</v>
      </c>
      <c r="U32" s="212">
        <v>12</v>
      </c>
      <c r="V32" s="203">
        <f>ROUND((U32-T32)/(U23-T23),4)</f>
        <v>6.3E-3</v>
      </c>
      <c r="W32" s="217">
        <f>ROUND(T32-T23*V32,2)</f>
        <v>4.75</v>
      </c>
      <c r="X32" s="211">
        <v>10.1</v>
      </c>
      <c r="Y32" s="212">
        <v>12.1</v>
      </c>
      <c r="Z32" s="203">
        <f>ROUND((Y32-X32)/(Y23-X23),4)</f>
        <v>6.7000000000000002E-3</v>
      </c>
      <c r="AA32" s="217">
        <f>ROUND(X32-X23*Z32,2)</f>
        <v>4.41</v>
      </c>
      <c r="AB32" s="211">
        <v>10.4</v>
      </c>
      <c r="AC32" s="212">
        <v>12.3</v>
      </c>
      <c r="AD32" s="203">
        <f>ROUND((AC32-AB32)/(AC23-AB23),4)</f>
        <v>6.3E-3</v>
      </c>
      <c r="AE32" s="217">
        <f>ROUND(AB32-AB23*AD32,2)</f>
        <v>5.05</v>
      </c>
      <c r="AF32" s="211">
        <v>11.9</v>
      </c>
      <c r="AG32" s="212">
        <v>14.4</v>
      </c>
      <c r="AH32" s="203">
        <f>ROUND((AG32-AF32)/(AG23-AF23),4)</f>
        <v>8.3000000000000001E-3</v>
      </c>
      <c r="AI32" s="217">
        <f>ROUND(AF32-AF23*AH32,2)</f>
        <v>4.8499999999999996</v>
      </c>
      <c r="AJ32" s="211">
        <v>13.9</v>
      </c>
      <c r="AK32" s="212">
        <v>16.899999999999999</v>
      </c>
      <c r="AL32" s="203">
        <f>ROUND((AK32-AJ32)/(AK23-AJ23),4)</f>
        <v>0.01</v>
      </c>
      <c r="AM32" s="217">
        <f>ROUND(AJ32-AJ23*AL32,2)</f>
        <v>5.4</v>
      </c>
      <c r="AN32" s="211">
        <v>14.1</v>
      </c>
      <c r="AO32" s="212">
        <v>17.2</v>
      </c>
      <c r="AP32" s="203">
        <f>ROUND((AO32-AN32)/(AO23-AN23),4)</f>
        <v>1.03E-2</v>
      </c>
      <c r="AQ32" s="217">
        <f>ROUND(AN32-AN23*AP32,2)</f>
        <v>5.35</v>
      </c>
      <c r="AR32" s="211">
        <v>14.9</v>
      </c>
      <c r="AS32" s="214">
        <v>18</v>
      </c>
      <c r="AT32" s="203">
        <f>ROUND((AS32-AR32)/(AS23-AR23),4)</f>
        <v>1.03E-2</v>
      </c>
      <c r="AU32" s="217">
        <f>ROUND(AR32-AR23*AT32,2)</f>
        <v>6.15</v>
      </c>
    </row>
    <row r="33" spans="1:47">
      <c r="D33" s="133">
        <v>11</v>
      </c>
      <c r="E33" s="133">
        <v>10</v>
      </c>
      <c r="F33" s="203">
        <f>INDEX($R24:$AU38,$D33,1+VLOOKUP($B24,$B$351:$E$368,4,FALSE))</f>
        <v>7.3000000000000001E-3</v>
      </c>
      <c r="G33" s="203">
        <f>INDEX($R24:$AU38,$D33,2+VLOOKUP($B24,$B$351:$E$368,4,FALSE))</f>
        <v>3.8</v>
      </c>
      <c r="H33" s="203">
        <f>INDEX($R24:$AU38,$D33,5+VLOOKUP($B24,$B$351:$E$368,4,FALSE))</f>
        <v>8.6999999999999994E-3</v>
      </c>
      <c r="I33" s="203">
        <f>INDEX($R24:$AU38,$D33,6+VLOOKUP($B24,$B$351:$E$368,4,FALSE))</f>
        <v>4.6100000000000003</v>
      </c>
      <c r="J33" s="203">
        <f>INDEX($R24:$AU38,$D33,9+VLOOKUP($B24,$B$351:$E$368,4,FALSE))</f>
        <v>8.6999999999999994E-3</v>
      </c>
      <c r="K33" s="203">
        <f>INDEX($R24:$AU38,$D33,10+VLOOKUP($B24,$B$351:$E$368,4,FALSE))</f>
        <v>4.91</v>
      </c>
      <c r="L33" s="203">
        <f>INDEX($R24:$AU38,$D33,13+VLOOKUP($B24,$B$351:$E$368,4,FALSE))</f>
        <v>8.9999999999999993E-3</v>
      </c>
      <c r="M33" s="203">
        <f>INDEX($R24:$AU38,$D33,14+VLOOKUP($B24,$B$351:$E$368,4,FALSE))</f>
        <v>5.35</v>
      </c>
      <c r="O33" s="215">
        <v>5</v>
      </c>
      <c r="P33" s="211">
        <v>7.79</v>
      </c>
      <c r="Q33" s="212">
        <v>9.27</v>
      </c>
      <c r="R33" s="203">
        <f>ROUND((Q33-P33)/(Q23-P23),4)</f>
        <v>4.8999999999999998E-3</v>
      </c>
      <c r="S33" s="217">
        <f>ROUND(P33-P23*R33,2)</f>
        <v>3.63</v>
      </c>
      <c r="T33" s="211">
        <v>9.34</v>
      </c>
      <c r="U33" s="212">
        <v>11.2</v>
      </c>
      <c r="V33" s="203">
        <f>ROUND((U33-T33)/(U23-T23),4)</f>
        <v>6.1999999999999998E-3</v>
      </c>
      <c r="W33" s="217">
        <f>ROUND(T33-T23*V33,2)</f>
        <v>4.07</v>
      </c>
      <c r="X33" s="211">
        <v>9.4</v>
      </c>
      <c r="Y33" s="212">
        <v>11.2</v>
      </c>
      <c r="Z33" s="203">
        <f>ROUND((Y33-X33)/(Y23-X23),4)</f>
        <v>6.0000000000000001E-3</v>
      </c>
      <c r="AA33" s="217">
        <f>ROUND(X33-X23*Z33,2)</f>
        <v>4.3</v>
      </c>
      <c r="AB33" s="211">
        <v>9.6300000000000008</v>
      </c>
      <c r="AC33" s="212">
        <v>11.4</v>
      </c>
      <c r="AD33" s="203">
        <f>ROUND((AC33-AB33)/(AC23-AB23),4)</f>
        <v>5.8999999999999999E-3</v>
      </c>
      <c r="AE33" s="217">
        <f>ROUND(AB33-AB23*AD33,2)</f>
        <v>4.62</v>
      </c>
      <c r="AF33" s="211">
        <v>11</v>
      </c>
      <c r="AG33" s="212">
        <v>13.3</v>
      </c>
      <c r="AH33" s="203">
        <f>ROUND((AG33-AF33)/(AG23-AF23),4)</f>
        <v>7.7000000000000002E-3</v>
      </c>
      <c r="AI33" s="217">
        <f>ROUND(AF33-AF23*AH33,2)</f>
        <v>4.46</v>
      </c>
      <c r="AJ33" s="211">
        <v>13</v>
      </c>
      <c r="AK33" s="212">
        <v>15.8</v>
      </c>
      <c r="AL33" s="203">
        <f>ROUND((AK33-AJ33)/(AK23-AJ23),4)</f>
        <v>9.2999999999999992E-3</v>
      </c>
      <c r="AM33" s="217">
        <f>ROUND(AJ33-AJ23*AL33,2)</f>
        <v>5.0999999999999996</v>
      </c>
      <c r="AN33" s="211">
        <v>13.2</v>
      </c>
      <c r="AO33" s="212">
        <v>16</v>
      </c>
      <c r="AP33" s="203">
        <f>ROUND((AO33-AN33)/(AO23-AN23),4)</f>
        <v>9.2999999999999992E-3</v>
      </c>
      <c r="AQ33" s="217">
        <f>ROUND(AN33-AN23*AP33,2)</f>
        <v>5.3</v>
      </c>
      <c r="AR33" s="211">
        <v>13.9</v>
      </c>
      <c r="AS33" s="214">
        <v>16.8</v>
      </c>
      <c r="AT33" s="203">
        <f>ROUND((AS33-AR33)/(AS23-AR23),4)</f>
        <v>9.7000000000000003E-3</v>
      </c>
      <c r="AU33" s="217">
        <f>ROUND(AR33-AR23*AT33,2)</f>
        <v>5.66</v>
      </c>
    </row>
    <row r="34" spans="1:47">
      <c r="A34" t="s">
        <v>256</v>
      </c>
      <c r="B34" s="163" t="e">
        <f>ROUND(B31/(4183*VLOOKUP(B25,B$345:E$348,4,FALSE))*3600,2)</f>
        <v>#REF!</v>
      </c>
      <c r="D34" s="133">
        <v>12</v>
      </c>
      <c r="E34" s="133">
        <v>15</v>
      </c>
      <c r="F34" s="203">
        <f>INDEX($R24:$AU38,$D34,1+VLOOKUP($B24,$B$351:$E$368,4,FALSE))</f>
        <v>6.3E-3</v>
      </c>
      <c r="G34" s="203">
        <f>INDEX($R24:$AU38,$D34,2+VLOOKUP($B24,$B$351:$E$368,4,FALSE))</f>
        <v>3.75</v>
      </c>
      <c r="H34" s="203">
        <f>INDEX($R24:$AU38,$D34,5+VLOOKUP($B24,$B$351:$E$368,4,FALSE))</f>
        <v>8.0000000000000002E-3</v>
      </c>
      <c r="I34" s="203">
        <f>INDEX($R24:$AU38,$D34,6+VLOOKUP($B24,$B$351:$E$368,4,FALSE))</f>
        <v>4.3</v>
      </c>
      <c r="J34" s="203">
        <f>INDEX($R24:$AU38,$D34,9+VLOOKUP($B24,$B$351:$E$368,4,FALSE))</f>
        <v>8.0000000000000002E-3</v>
      </c>
      <c r="K34" s="203">
        <f>INDEX($R24:$AU38,$D34,10+VLOOKUP($B24,$B$351:$E$368,4,FALSE))</f>
        <v>4.5</v>
      </c>
      <c r="L34" s="203">
        <f>INDEX($R24:$AU38,$D34,13+VLOOKUP($B24,$B$351:$E$368,4,FALSE))</f>
        <v>8.3000000000000001E-3</v>
      </c>
      <c r="M34" s="203">
        <f>INDEX($R24:$AU38,$D34,14+VLOOKUP($B24,$B$351:$E$368,4,FALSE))</f>
        <v>4.95</v>
      </c>
      <c r="O34" s="215">
        <v>10</v>
      </c>
      <c r="P34" s="211">
        <v>7.07</v>
      </c>
      <c r="Q34" s="212">
        <v>8.4700000000000006</v>
      </c>
      <c r="R34" s="203">
        <f>ROUND((Q34-P34)/(Q23-P23),4)</f>
        <v>4.7000000000000002E-3</v>
      </c>
      <c r="S34" s="217">
        <f>ROUND(P34-P23*R34,2)</f>
        <v>3.08</v>
      </c>
      <c r="T34" s="211">
        <v>8.6199999999999992</v>
      </c>
      <c r="U34" s="212">
        <v>10.3</v>
      </c>
      <c r="V34" s="203">
        <f>ROUND((U34-T34)/(U23-T23),4)</f>
        <v>5.5999999999999999E-3</v>
      </c>
      <c r="W34" s="217">
        <f>ROUND(T34-T23*V34,2)</f>
        <v>3.86</v>
      </c>
      <c r="X34" s="211">
        <v>8.69</v>
      </c>
      <c r="Y34" s="212">
        <v>10.3</v>
      </c>
      <c r="Z34" s="203">
        <f>ROUND((Y34-X34)/(Y23-X23),4)</f>
        <v>5.4000000000000003E-3</v>
      </c>
      <c r="AA34" s="217">
        <f>ROUND(X34-X23*Z34,2)</f>
        <v>4.0999999999999996</v>
      </c>
      <c r="AB34" s="211">
        <v>8.92</v>
      </c>
      <c r="AC34" s="212">
        <v>10.6</v>
      </c>
      <c r="AD34" s="203">
        <f>ROUND((AC34-AB34)/(AC23-AB23),4)</f>
        <v>5.5999999999999999E-3</v>
      </c>
      <c r="AE34" s="217">
        <f>ROUND(AB34-AB23*AD34,2)</f>
        <v>4.16</v>
      </c>
      <c r="AF34" s="211">
        <v>10</v>
      </c>
      <c r="AG34" s="212">
        <v>12.2</v>
      </c>
      <c r="AH34" s="203">
        <f>ROUND((AG34-AF34)/(AG23-AF23),4)</f>
        <v>7.3000000000000001E-3</v>
      </c>
      <c r="AI34" s="217">
        <f>ROUND(AF34-AF23*AH34,2)</f>
        <v>3.8</v>
      </c>
      <c r="AJ34" s="211">
        <v>12</v>
      </c>
      <c r="AK34" s="212">
        <v>14.6</v>
      </c>
      <c r="AL34" s="203">
        <f>ROUND((AK34-AJ34)/(AK23-AJ23),4)</f>
        <v>8.6999999999999994E-3</v>
      </c>
      <c r="AM34" s="217">
        <f>ROUND(AJ34-AJ23*AL34,2)</f>
        <v>4.6100000000000003</v>
      </c>
      <c r="AN34" s="211">
        <v>12.3</v>
      </c>
      <c r="AO34" s="212">
        <v>14.9</v>
      </c>
      <c r="AP34" s="203">
        <f>ROUND((AO34-AN34)/(AO23-AN23),4)</f>
        <v>8.6999999999999994E-3</v>
      </c>
      <c r="AQ34" s="217">
        <f>ROUND(AN34-AN23*AP34,2)</f>
        <v>4.91</v>
      </c>
      <c r="AR34" s="211">
        <v>13</v>
      </c>
      <c r="AS34" s="214">
        <v>15.7</v>
      </c>
      <c r="AT34" s="203">
        <f>ROUND((AS34-AR34)/(AS23-AR23),4)</f>
        <v>8.9999999999999993E-3</v>
      </c>
      <c r="AU34" s="217">
        <f>ROUND(AR34-AR23*AT34,2)</f>
        <v>5.35</v>
      </c>
    </row>
    <row r="35" spans="1:47">
      <c r="A35" t="s">
        <v>257</v>
      </c>
      <c r="B35" s="163" t="e">
        <f>ROUND(100*POWER(B34/VLOOKUP(B24,B$351:C$368,2,FALSE),2),1)</f>
        <v>#REF!</v>
      </c>
      <c r="D35" s="133">
        <v>13</v>
      </c>
      <c r="E35" s="133">
        <v>20</v>
      </c>
      <c r="F35" s="203">
        <f>INDEX($R24:$AU38,$D35,1+VLOOKUP($B24,$B$351:$E$368,4,FALSE))</f>
        <v>5.5999999999999999E-3</v>
      </c>
      <c r="G35" s="203">
        <f>INDEX($R24:$AU38,$D35,2+VLOOKUP($B24,$B$351:$E$368,4,FALSE))</f>
        <v>3.4</v>
      </c>
      <c r="H35" s="203">
        <f>INDEX($R24:$AU38,$D35,5+VLOOKUP($B24,$B$351:$E$368,4,FALSE))</f>
        <v>7.1999999999999998E-3</v>
      </c>
      <c r="I35" s="203">
        <f>INDEX($R24:$AU38,$D35,6+VLOOKUP($B24,$B$351:$E$368,4,FALSE))</f>
        <v>4.05</v>
      </c>
      <c r="J35" s="203">
        <f>INDEX($R24:$AU38,$D35,9+VLOOKUP($B24,$B$351:$E$368,4,FALSE))</f>
        <v>7.3000000000000001E-3</v>
      </c>
      <c r="K35" s="203">
        <f>INDEX($R24:$AU38,$D35,10+VLOOKUP($B24,$B$351:$E$368,4,FALSE))</f>
        <v>4.2</v>
      </c>
      <c r="L35" s="203">
        <f>INDEX($R24:$AU38,$D35,13+VLOOKUP($B24,$B$351:$E$368,4,FALSE))</f>
        <v>7.4999999999999997E-3</v>
      </c>
      <c r="M35" s="203">
        <f>INDEX($R24:$AU38,$D35,14+VLOOKUP($B24,$B$351:$E$368,4,FALSE))</f>
        <v>4.72</v>
      </c>
      <c r="O35" s="215">
        <v>15</v>
      </c>
      <c r="P35" s="211">
        <v>6.37</v>
      </c>
      <c r="Q35" s="212">
        <v>7.56</v>
      </c>
      <c r="R35" s="203">
        <f>ROUND((Q35-P35)/(Q23-P23),4)</f>
        <v>4.0000000000000001E-3</v>
      </c>
      <c r="S35" s="217">
        <f>ROUND(P35-P23*R35,2)</f>
        <v>2.97</v>
      </c>
      <c r="T35" s="211">
        <v>7.92</v>
      </c>
      <c r="U35" s="212">
        <v>9.43</v>
      </c>
      <c r="V35" s="203">
        <f>ROUND((U35-T35)/(U23-T23),4)</f>
        <v>5.0000000000000001E-3</v>
      </c>
      <c r="W35" s="217">
        <f>ROUND(T35-T23*V35,2)</f>
        <v>3.67</v>
      </c>
      <c r="X35" s="211">
        <v>7.97</v>
      </c>
      <c r="Y35" s="212">
        <v>9.4700000000000006</v>
      </c>
      <c r="Z35" s="203">
        <f>ROUND((Y35-X35)/(Y23-X23),4)</f>
        <v>5.0000000000000001E-3</v>
      </c>
      <c r="AA35" s="217">
        <f>ROUND(X35-X23*Z35,2)</f>
        <v>3.72</v>
      </c>
      <c r="AB35" s="211">
        <v>8.2100000000000009</v>
      </c>
      <c r="AC35" s="212">
        <v>9.6999999999999993</v>
      </c>
      <c r="AD35" s="203">
        <f>ROUND((AC35-AB35)/(AC23-AB23),4)</f>
        <v>5.0000000000000001E-3</v>
      </c>
      <c r="AE35" s="217">
        <f>ROUND(AB35-AB23*AD35,2)</f>
        <v>3.96</v>
      </c>
      <c r="AF35" s="211">
        <v>9.1</v>
      </c>
      <c r="AG35" s="212">
        <v>11</v>
      </c>
      <c r="AH35" s="203">
        <f>ROUND((AG35-AF35)/(AG23-AF23),4)</f>
        <v>6.3E-3</v>
      </c>
      <c r="AI35" s="217">
        <f>ROUND(AF35-AF23*AH35,2)</f>
        <v>3.75</v>
      </c>
      <c r="AJ35" s="211">
        <v>11.1</v>
      </c>
      <c r="AK35" s="212">
        <v>13.5</v>
      </c>
      <c r="AL35" s="203">
        <f>ROUND((AK35-AJ35)/(AK23-AJ23),4)</f>
        <v>8.0000000000000002E-3</v>
      </c>
      <c r="AM35" s="217">
        <f>ROUND(AJ35-AJ23*AL35,2)</f>
        <v>4.3</v>
      </c>
      <c r="AN35" s="211">
        <v>11.3</v>
      </c>
      <c r="AO35" s="212">
        <v>13.7</v>
      </c>
      <c r="AP35" s="203">
        <f>ROUND((AO35-AN35)/(AO23-AN23),4)</f>
        <v>8.0000000000000002E-3</v>
      </c>
      <c r="AQ35" s="217">
        <f>ROUND(AN35-AN23*AP35,2)</f>
        <v>4.5</v>
      </c>
      <c r="AR35" s="211">
        <v>12</v>
      </c>
      <c r="AS35" s="214">
        <v>14.5</v>
      </c>
      <c r="AT35" s="203">
        <f>ROUND((AS35-AR35)/(AS23-AR23),4)</f>
        <v>8.3000000000000001E-3</v>
      </c>
      <c r="AU35" s="217">
        <f>ROUND(AR35-AR23*AT35,2)</f>
        <v>4.95</v>
      </c>
    </row>
    <row r="36" spans="1:47">
      <c r="D36" s="133">
        <v>14</v>
      </c>
      <c r="E36" s="133">
        <v>25</v>
      </c>
      <c r="F36" s="203">
        <f>INDEX($R24:$AU38,$D36,1+VLOOKUP($B24,$B$351:$E$368,4,FALSE))</f>
        <v>4.8999999999999998E-3</v>
      </c>
      <c r="G36" s="203">
        <f>INDEX($R24:$AU38,$D36,2+VLOOKUP($B24,$B$351:$E$368,4,FALSE))</f>
        <v>3.06</v>
      </c>
      <c r="H36" s="203">
        <f>INDEX($R24:$AU38,$D36,5+VLOOKUP($B24,$B$351:$E$368,4,FALSE))</f>
        <v>6.4999999999999997E-3</v>
      </c>
      <c r="I36" s="203">
        <f>INDEX($R24:$AU38,$D36,6+VLOOKUP($B24,$B$351:$E$368,4,FALSE))</f>
        <v>3.72</v>
      </c>
      <c r="J36" s="203">
        <f>INDEX($R24:$AU38,$D36,9+VLOOKUP($B24,$B$351:$E$368,4,FALSE))</f>
        <v>6.6E-3</v>
      </c>
      <c r="K36" s="203">
        <f>INDEX($R24:$AU38,$D36,10+VLOOKUP($B24,$B$351:$E$368,4,FALSE))</f>
        <v>3.86</v>
      </c>
      <c r="L36" s="203">
        <f>INDEX($R24:$AU38,$D36,13+VLOOKUP($B24,$B$351:$E$368,4,FALSE))</f>
        <v>6.7999999999999996E-3</v>
      </c>
      <c r="M36" s="203">
        <f>INDEX($R24:$AU38,$D36,14+VLOOKUP($B24,$B$351:$E$368,4,FALSE))</f>
        <v>4.37</v>
      </c>
      <c r="O36" s="215">
        <v>20</v>
      </c>
      <c r="P36" s="211">
        <v>5.6433333333333398</v>
      </c>
      <c r="Q36" s="212">
        <v>6.7060000000000004</v>
      </c>
      <c r="R36" s="203">
        <f>ROUND((Q36-P36)/(Q23-P23),4)</f>
        <v>3.5000000000000001E-3</v>
      </c>
      <c r="S36" s="217">
        <f>ROUND(P36-P23*R36,2)</f>
        <v>2.67</v>
      </c>
      <c r="T36" s="211">
        <v>7.2053333333333303</v>
      </c>
      <c r="U36" s="212">
        <v>8.5786666666666598</v>
      </c>
      <c r="V36" s="203">
        <f>ROUND((U36-T36)/(U23-T23),4)</f>
        <v>4.5999999999999999E-3</v>
      </c>
      <c r="W36" s="217">
        <f>ROUND(T36-T23*V36,2)</f>
        <v>3.3</v>
      </c>
      <c r="X36" s="211">
        <v>7.2446666666666601</v>
      </c>
      <c r="Y36" s="212">
        <v>8.6079999999999899</v>
      </c>
      <c r="Z36" s="203">
        <f>ROUND((Y36-X36)/(Y23-X23),4)</f>
        <v>4.4999999999999997E-3</v>
      </c>
      <c r="AA36" s="217">
        <f>ROUND(X36-X23*Z36,2)</f>
        <v>3.42</v>
      </c>
      <c r="AB36" s="211">
        <v>7.5186666666666699</v>
      </c>
      <c r="AC36" s="212">
        <v>8.8533333333333299</v>
      </c>
      <c r="AD36" s="203">
        <f>ROUND((AC36-AB36)/(AC23-AB23),4)</f>
        <v>4.4000000000000003E-3</v>
      </c>
      <c r="AE36" s="217">
        <f>ROUND(AB36-AB23*AD36,2)</f>
        <v>3.78</v>
      </c>
      <c r="AF36" s="213">
        <v>8.16</v>
      </c>
      <c r="AG36" s="214">
        <v>9.8533333333333193</v>
      </c>
      <c r="AH36" s="203">
        <f>ROUND((AG36-AF36)/(AG23-AF23),4)</f>
        <v>5.5999999999999999E-3</v>
      </c>
      <c r="AI36" s="217">
        <f>ROUND(AF36-AF23*AH36,2)</f>
        <v>3.4</v>
      </c>
      <c r="AJ36" s="211">
        <v>10.1733333333333</v>
      </c>
      <c r="AK36" s="212">
        <v>12.3333333333333</v>
      </c>
      <c r="AL36" s="203">
        <f>ROUND((AK36-AJ36)/(AK23-AJ23),4)</f>
        <v>7.1999999999999998E-3</v>
      </c>
      <c r="AM36" s="217">
        <f>ROUND(AJ36-AJ23*AL36,2)</f>
        <v>4.05</v>
      </c>
      <c r="AN36" s="211">
        <v>10.4</v>
      </c>
      <c r="AO36" s="212">
        <v>12.5866666666666</v>
      </c>
      <c r="AP36" s="203">
        <f>ROUND((AO36-AN36)/(AO23-AN23),4)</f>
        <v>7.3000000000000001E-3</v>
      </c>
      <c r="AQ36" s="217">
        <f>ROUND(AN36-AN23*AP36,2)</f>
        <v>4.2</v>
      </c>
      <c r="AR36" s="211">
        <v>11.0933333333333</v>
      </c>
      <c r="AS36" s="212">
        <v>13.3533333333333</v>
      </c>
      <c r="AT36" s="203">
        <f>ROUND((AS36-AR36)/(AS23-AR23),4)</f>
        <v>7.4999999999999997E-3</v>
      </c>
      <c r="AU36" s="217">
        <f>ROUND(AR36-AR23*AT36,2)</f>
        <v>4.72</v>
      </c>
    </row>
    <row r="37" spans="1:47">
      <c r="D37" s="133">
        <v>15</v>
      </c>
      <c r="E37" s="133">
        <v>30</v>
      </c>
      <c r="F37" s="203">
        <f>INDEX($R24:$AU38,$D37,1+VLOOKUP($B24,$B$351:$E$368,4,FALSE))</f>
        <v>4.1999999999999997E-3</v>
      </c>
      <c r="G37" s="203">
        <f>INDEX($R24:$AU38,$D37,2+VLOOKUP($B24,$B$351:$E$368,4,FALSE))</f>
        <v>2.72</v>
      </c>
      <c r="H37" s="203">
        <f>INDEX($R24:$AU38,$D37,5+VLOOKUP($B24,$B$351:$E$368,4,FALSE))</f>
        <v>5.7999999999999996E-3</v>
      </c>
      <c r="I37" s="203">
        <f>INDEX($R24:$AU38,$D37,6+VLOOKUP($B24,$B$351:$E$368,4,FALSE))</f>
        <v>3.38</v>
      </c>
      <c r="J37" s="203">
        <f>INDEX($R24:$AU38,$D37,9+VLOOKUP($B24,$B$351:$E$368,4,FALSE))</f>
        <v>5.8999999999999999E-3</v>
      </c>
      <c r="K37" s="203">
        <f>INDEX($R24:$AU38,$D37,10+VLOOKUP($B24,$B$351:$E$368,4,FALSE))</f>
        <v>3.52</v>
      </c>
      <c r="L37" s="203">
        <f>INDEX($R24:$AU38,$D37,13+VLOOKUP($B24,$B$351:$E$368,4,FALSE))</f>
        <v>6.1000000000000004E-3</v>
      </c>
      <c r="M37" s="203">
        <f>INDEX($R24:$AU38,$D37,14+VLOOKUP($B24,$B$351:$E$368,4,FALSE))</f>
        <v>4.0199999999999996</v>
      </c>
      <c r="O37" s="215">
        <v>25</v>
      </c>
      <c r="P37" s="211">
        <v>4.9303030303030297</v>
      </c>
      <c r="Q37" s="212">
        <v>5.8489090909090899</v>
      </c>
      <c r="R37" s="203">
        <f>ROUND((Q37-P37)/(Q23-P23),4)</f>
        <v>3.0999999999999999E-3</v>
      </c>
      <c r="S37" s="217">
        <f>ROUND(P37-P23*R37,2)</f>
        <v>2.2999999999999998</v>
      </c>
      <c r="T37" s="211">
        <v>6.4903030303030302</v>
      </c>
      <c r="U37" s="212">
        <v>7.7178787878787798</v>
      </c>
      <c r="V37" s="203">
        <f>ROUND((U37-T37)/(U23-T23),4)</f>
        <v>4.1000000000000003E-3</v>
      </c>
      <c r="W37" s="217">
        <f>ROUND(T37-T23*V37,2)</f>
        <v>3.01</v>
      </c>
      <c r="X37" s="211">
        <v>6.5280606060605999</v>
      </c>
      <c r="Y37" s="212">
        <v>7.7463636363636299</v>
      </c>
      <c r="Z37" s="203">
        <f>ROUND((Y37-X37)/(Y23-X23),4)</f>
        <v>4.1000000000000003E-3</v>
      </c>
      <c r="AA37" s="217">
        <f>ROUND(X37-X23*Z37,2)</f>
        <v>3.04</v>
      </c>
      <c r="AB37" s="211">
        <v>6.8082424242424198</v>
      </c>
      <c r="AC37" s="212">
        <v>8.0012121212121201</v>
      </c>
      <c r="AD37" s="203">
        <f>ROUND((AC37-AB37)/(AC23-AB23),4)</f>
        <v>4.0000000000000001E-3</v>
      </c>
      <c r="AE37" s="217">
        <f>ROUND(AB37-AB23*AD37,2)</f>
        <v>3.41</v>
      </c>
      <c r="AF37" s="213">
        <v>7.2254545454545402</v>
      </c>
      <c r="AG37" s="214">
        <v>8.7048484848485206</v>
      </c>
      <c r="AH37" s="203">
        <f>ROUND((AG37-AF37)/(AG23-AF23),4)</f>
        <v>4.8999999999999998E-3</v>
      </c>
      <c r="AI37" s="217">
        <f>ROUND(AF37-AF23*AH37,2)</f>
        <v>3.06</v>
      </c>
      <c r="AJ37" s="211">
        <v>9.2430303030303396</v>
      </c>
      <c r="AK37" s="212">
        <v>11.186666666666699</v>
      </c>
      <c r="AL37" s="203">
        <f>ROUND((AK37-AJ37)/(AK23-AJ23),4)</f>
        <v>6.4999999999999997E-3</v>
      </c>
      <c r="AM37" s="217">
        <f>ROUND(AJ37-AJ23*AL37,2)</f>
        <v>3.72</v>
      </c>
      <c r="AN37" s="211">
        <v>9.4672727272727304</v>
      </c>
      <c r="AO37" s="212">
        <v>11.440606060605999</v>
      </c>
      <c r="AP37" s="203">
        <f>ROUND((AO37-AN37)/(AO23-AN23),4)</f>
        <v>6.6E-3</v>
      </c>
      <c r="AQ37" s="217">
        <f>ROUND(AN37-AN23*AP37,2)</f>
        <v>3.86</v>
      </c>
      <c r="AR37" s="211">
        <v>10.1503030303031</v>
      </c>
      <c r="AS37" s="212">
        <v>12.1957575757576</v>
      </c>
      <c r="AT37" s="203">
        <f>ROUND((AS37-AR37)/(AS23-AR23),4)</f>
        <v>6.7999999999999996E-3</v>
      </c>
      <c r="AU37" s="217">
        <f>ROUND(AR37-AR23*AT37,2)</f>
        <v>4.37</v>
      </c>
    </row>
    <row r="38" spans="1:47" ht="15" thickBot="1">
      <c r="O38" s="216">
        <v>30</v>
      </c>
      <c r="P38" s="226">
        <v>4.2172727272727304</v>
      </c>
      <c r="Q38" s="227">
        <v>4.9918181818181901</v>
      </c>
      <c r="R38" s="228">
        <f>ROUND((Q38-P38)/(Q23-P23),4)</f>
        <v>2.5999999999999999E-3</v>
      </c>
      <c r="S38" s="229">
        <f>ROUND(P38-P23*R38,2)</f>
        <v>2.0099999999999998</v>
      </c>
      <c r="T38" s="226">
        <v>5.7752727272727196</v>
      </c>
      <c r="U38" s="227">
        <v>6.8570909090909504</v>
      </c>
      <c r="V38" s="228">
        <f>ROUND((U38-T38)/(U23-T23),4)</f>
        <v>3.5999999999999999E-3</v>
      </c>
      <c r="W38" s="229">
        <f>ROUND(T38-T23*V38,2)</f>
        <v>2.72</v>
      </c>
      <c r="X38" s="226">
        <v>5.8114545454545397</v>
      </c>
      <c r="Y38" s="227">
        <v>6.88472727272723</v>
      </c>
      <c r="Z38" s="228">
        <f>ROUND((Y38-X38)/(Y23-X23),4)</f>
        <v>3.5999999999999999E-3</v>
      </c>
      <c r="AA38" s="229">
        <f>ROUND(X38-X23*Z38,2)</f>
        <v>2.75</v>
      </c>
      <c r="AB38" s="226">
        <v>6.0978181818181802</v>
      </c>
      <c r="AC38" s="227">
        <v>7.1490909090909502</v>
      </c>
      <c r="AD38" s="228">
        <f>ROUND((AC38-AB38)/(AC23-AB23),4)</f>
        <v>3.5000000000000001E-3</v>
      </c>
      <c r="AE38" s="229">
        <f>ROUND(AB38-AB23*AD38,2)</f>
        <v>3.12</v>
      </c>
      <c r="AF38" s="232">
        <v>6.2909090909090404</v>
      </c>
      <c r="AG38" s="233">
        <v>7.5563636363636197</v>
      </c>
      <c r="AH38" s="228">
        <f>ROUND((AG38-AF38)/(AG23-AF23),4)</f>
        <v>4.1999999999999997E-3</v>
      </c>
      <c r="AI38" s="229">
        <f>ROUND(AF38-AF23*AH38,2)</f>
        <v>2.72</v>
      </c>
      <c r="AJ38" s="226">
        <v>8.3127272727272405</v>
      </c>
      <c r="AK38" s="227">
        <v>10.039999999999999</v>
      </c>
      <c r="AL38" s="228">
        <f>ROUND((AK38-AJ38)/(AK23-AJ23),4)</f>
        <v>5.7999999999999996E-3</v>
      </c>
      <c r="AM38" s="229">
        <f>ROUND(AJ38-AJ23*AL38,2)</f>
        <v>3.38</v>
      </c>
      <c r="AN38" s="226">
        <v>8.5345454545454302</v>
      </c>
      <c r="AO38" s="227">
        <v>10.2945454545454</v>
      </c>
      <c r="AP38" s="228">
        <f>ROUND((AO38-AN38)/(AO23-AN23),4)</f>
        <v>5.8999999999999999E-3</v>
      </c>
      <c r="AQ38" s="229">
        <f>ROUND(AN38-AN23*AP38,2)</f>
        <v>3.52</v>
      </c>
      <c r="AR38" s="226">
        <v>9.2072727272727608</v>
      </c>
      <c r="AS38" s="227">
        <v>11.038181818181799</v>
      </c>
      <c r="AT38" s="228">
        <f>ROUND((AS38-AR38)/(AS23-AR23),4)</f>
        <v>6.1000000000000004E-3</v>
      </c>
      <c r="AU38" s="229">
        <f>ROUND(AR38-AR23*AT38,2)</f>
        <v>4.0199999999999996</v>
      </c>
    </row>
    <row r="39" spans="1:47" ht="15" thickBot="1">
      <c r="P39" t="s">
        <v>271</v>
      </c>
    </row>
    <row r="40" spans="1:47" ht="15" thickBot="1">
      <c r="E40" s="163"/>
      <c r="F40" s="596" t="s">
        <v>244</v>
      </c>
      <c r="G40" s="597"/>
      <c r="H40" s="597" t="s">
        <v>245</v>
      </c>
      <c r="I40" s="597"/>
      <c r="J40" s="597" t="s">
        <v>246</v>
      </c>
      <c r="K40" s="597"/>
      <c r="L40" s="597" t="s">
        <v>247</v>
      </c>
      <c r="M40" s="598"/>
      <c r="O40" s="204" t="s">
        <v>258</v>
      </c>
      <c r="P40" s="590" t="s">
        <v>284</v>
      </c>
      <c r="Q40" s="591"/>
      <c r="R40" s="591"/>
      <c r="S40" s="591"/>
      <c r="T40" s="591"/>
      <c r="U40" s="591"/>
      <c r="V40" s="591"/>
      <c r="W40" s="591"/>
      <c r="X40" s="591"/>
      <c r="Y40" s="591"/>
      <c r="Z40" s="591"/>
      <c r="AA40" s="591"/>
      <c r="AB40" s="591"/>
      <c r="AC40" s="591"/>
      <c r="AD40" s="591"/>
      <c r="AE40" s="592"/>
      <c r="AF40" s="590" t="s">
        <v>285</v>
      </c>
      <c r="AG40" s="591"/>
      <c r="AH40" s="591"/>
      <c r="AI40" s="591"/>
      <c r="AJ40" s="591"/>
      <c r="AK40" s="591"/>
      <c r="AL40" s="591"/>
      <c r="AM40" s="591"/>
      <c r="AN40" s="591"/>
      <c r="AO40" s="591"/>
      <c r="AP40" s="591"/>
      <c r="AQ40" s="591"/>
      <c r="AR40" s="591"/>
      <c r="AS40" s="591"/>
      <c r="AT40" s="591"/>
      <c r="AU40" s="592"/>
    </row>
    <row r="41" spans="1:47" ht="15" thickBot="1">
      <c r="E41" s="163"/>
      <c r="F41" s="221" t="s">
        <v>66</v>
      </c>
      <c r="G41" s="222" t="s">
        <v>249</v>
      </c>
      <c r="H41" s="222" t="s">
        <v>66</v>
      </c>
      <c r="I41" s="222" t="s">
        <v>249</v>
      </c>
      <c r="J41" s="222" t="s">
        <v>66</v>
      </c>
      <c r="K41" s="222" t="s">
        <v>249</v>
      </c>
      <c r="L41" s="222" t="s">
        <v>66</v>
      </c>
      <c r="M41" s="223" t="s">
        <v>249</v>
      </c>
      <c r="O41" s="205" t="s">
        <v>251</v>
      </c>
      <c r="P41" s="593" t="s">
        <v>276</v>
      </c>
      <c r="Q41" s="594"/>
      <c r="R41" s="594"/>
      <c r="S41" s="595"/>
      <c r="T41" s="593" t="s">
        <v>277</v>
      </c>
      <c r="U41" s="594"/>
      <c r="V41" s="594"/>
      <c r="W41" s="595"/>
      <c r="X41" s="593" t="s">
        <v>278</v>
      </c>
      <c r="Y41" s="594"/>
      <c r="Z41" s="594"/>
      <c r="AA41" s="595"/>
      <c r="AB41" s="593" t="s">
        <v>279</v>
      </c>
      <c r="AC41" s="594"/>
      <c r="AD41" s="594"/>
      <c r="AE41" s="595"/>
      <c r="AF41" s="593" t="s">
        <v>276</v>
      </c>
      <c r="AG41" s="594"/>
      <c r="AH41" s="594"/>
      <c r="AI41" s="595"/>
      <c r="AJ41" s="593" t="s">
        <v>277</v>
      </c>
      <c r="AK41" s="594"/>
      <c r="AL41" s="594"/>
      <c r="AM41" s="595"/>
      <c r="AN41" s="593" t="s">
        <v>278</v>
      </c>
      <c r="AO41" s="594"/>
      <c r="AP41" s="594"/>
      <c r="AQ41" s="595"/>
      <c r="AR41" s="593" t="s">
        <v>279</v>
      </c>
      <c r="AS41" s="594"/>
      <c r="AT41" s="594"/>
      <c r="AU41" s="595"/>
    </row>
    <row r="42" spans="1:47" ht="15" thickBot="1">
      <c r="A42" t="s">
        <v>248</v>
      </c>
      <c r="B42" s="163" t="e">
        <f>Задача_Расход</f>
        <v>#REF!</v>
      </c>
      <c r="D42" s="133">
        <v>1</v>
      </c>
      <c r="E42" s="133">
        <v>-40</v>
      </c>
      <c r="F42" s="220">
        <f>INDEX($R43:$AU57,$D42,1+VLOOKUP($B43,$B$351:$E$368,4,FALSE))</f>
        <v>1.0200000000000001E-2</v>
      </c>
      <c r="G42" s="220">
        <f>INDEX($R43:$AU57,$D42,2+VLOOKUP($B43,$B$351:$E$368,4,FALSE))</f>
        <v>10.09</v>
      </c>
      <c r="H42" s="220">
        <f>INDEX($R43:$AU57,$D42,5+VLOOKUP($B43,$B$351:$E$368,4,FALSE))</f>
        <v>1.1299999999999999E-2</v>
      </c>
      <c r="I42" s="220">
        <f>INDEX($R43:$AU57,$D42,6+VLOOKUP($B43,$B$351:$E$368,4,FALSE))</f>
        <v>11.05</v>
      </c>
      <c r="J42" s="220">
        <f>INDEX($R43:$AU57,$D42,9+VLOOKUP($B43,$B$351:$E$368,4,FALSE))</f>
        <v>1.14E-2</v>
      </c>
      <c r="K42" s="220">
        <f>INDEX($R43:$AU57,$D42,10+VLOOKUP($B43,$B$351:$E$368,4,FALSE))</f>
        <v>11.23</v>
      </c>
      <c r="L42" s="220">
        <f>INDEX($R43:$AU57,$D42,13+VLOOKUP($B43,$B$351:$E$368,4,FALSE))</f>
        <v>1.17E-2</v>
      </c>
      <c r="M42" s="220">
        <f>INDEX($R43:$AU57,$D42,14+VLOOKUP($B43,$B$351:$E$368,4,FALSE))</f>
        <v>11.86</v>
      </c>
      <c r="O42" s="206" t="s">
        <v>248</v>
      </c>
      <c r="P42" s="207">
        <v>1300</v>
      </c>
      <c r="Q42" s="208">
        <v>1800</v>
      </c>
      <c r="R42" s="208"/>
      <c r="S42" s="209"/>
      <c r="T42" s="207">
        <v>1300</v>
      </c>
      <c r="U42" s="208">
        <v>1800</v>
      </c>
      <c r="V42" s="208"/>
      <c r="W42" s="209"/>
      <c r="X42" s="207">
        <v>1300</v>
      </c>
      <c r="Y42" s="208">
        <v>1800</v>
      </c>
      <c r="Z42" s="208"/>
      <c r="AA42" s="209"/>
      <c r="AB42" s="207">
        <v>1300</v>
      </c>
      <c r="AC42" s="208">
        <v>1800</v>
      </c>
      <c r="AD42" s="208"/>
      <c r="AE42" s="209"/>
      <c r="AF42" s="207">
        <v>1300</v>
      </c>
      <c r="AG42" s="208">
        <v>1800</v>
      </c>
      <c r="AH42" s="208"/>
      <c r="AI42" s="209"/>
      <c r="AJ42" s="207">
        <v>1300</v>
      </c>
      <c r="AK42" s="208">
        <v>1800</v>
      </c>
      <c r="AL42" s="208"/>
      <c r="AM42" s="209"/>
      <c r="AN42" s="207">
        <v>1300</v>
      </c>
      <c r="AO42" s="208">
        <v>1800</v>
      </c>
      <c r="AP42" s="208"/>
      <c r="AQ42" s="209"/>
      <c r="AR42" s="207">
        <v>1300</v>
      </c>
      <c r="AS42" s="208">
        <v>1800</v>
      </c>
      <c r="AT42" s="208"/>
      <c r="AU42" s="209"/>
    </row>
    <row r="43" spans="1:47">
      <c r="A43" t="s">
        <v>250</v>
      </c>
      <c r="B43" s="163" t="s">
        <v>261</v>
      </c>
      <c r="D43" s="133">
        <v>2</v>
      </c>
      <c r="E43" s="133">
        <v>-35</v>
      </c>
      <c r="F43" s="203">
        <f>INDEX($R43:$AU57,$D43,1+VLOOKUP($B43,$B$351:$E$368,4,FALSE))</f>
        <v>9.7000000000000003E-3</v>
      </c>
      <c r="G43" s="203">
        <f>INDEX($R43:$AU57,$D43,2+VLOOKUP($B43,$B$351:$E$368,4,FALSE))</f>
        <v>9.6300000000000008</v>
      </c>
      <c r="H43" s="203">
        <f>INDEX($R43:$AU57,$D43,5+VLOOKUP($B43,$B$351:$E$368,4,FALSE))</f>
        <v>1.0800000000000001E-2</v>
      </c>
      <c r="I43" s="203">
        <f>INDEX($R43:$AU57,$D43,6+VLOOKUP($B43,$B$351:$E$368,4,FALSE))</f>
        <v>10.58</v>
      </c>
      <c r="J43" s="203">
        <f>INDEX($R43:$AU57,$D43,9+VLOOKUP($B43,$B$351:$E$368,4,FALSE))</f>
        <v>1.09E-2</v>
      </c>
      <c r="K43" s="203">
        <f>INDEX($R43:$AU57,$D43,10+VLOOKUP($B43,$B$351:$E$368,4,FALSE))</f>
        <v>10.76</v>
      </c>
      <c r="L43" s="203">
        <f>INDEX($R43:$AU57,$D43,13+VLOOKUP($B43,$B$351:$E$368,4,FALSE))</f>
        <v>1.12E-2</v>
      </c>
      <c r="M43" s="203">
        <f>INDEX($R43:$AU57,$D43,14+VLOOKUP($B43,$B$351:$E$368,4,FALSE))</f>
        <v>11.39</v>
      </c>
      <c r="O43" s="210">
        <v>-40</v>
      </c>
      <c r="P43" s="218">
        <v>23.354545454545502</v>
      </c>
      <c r="Q43" s="219">
        <v>28.4672727272727</v>
      </c>
      <c r="R43" s="203">
        <f>ROUND((Q43-P43)/(Q42-P42),4)</f>
        <v>1.0200000000000001E-2</v>
      </c>
      <c r="S43" s="217">
        <f>ROUND(P43-P42*R43,2)</f>
        <v>10.09</v>
      </c>
      <c r="T43" s="218">
        <v>25.738181818181801</v>
      </c>
      <c r="U43" s="219">
        <v>31.367272727272699</v>
      </c>
      <c r="V43" s="203">
        <f>ROUND((U43-T43)/(U42-T42),4)</f>
        <v>1.1299999999999999E-2</v>
      </c>
      <c r="W43" s="217">
        <f>ROUND(T43-T42*V43,2)</f>
        <v>11.05</v>
      </c>
      <c r="X43" s="218">
        <v>26.0484848484849</v>
      </c>
      <c r="Y43" s="219">
        <v>31.736969696969702</v>
      </c>
      <c r="Z43" s="203">
        <f>ROUND((Y43-X43)/(Y42-X42),4)</f>
        <v>1.14E-2</v>
      </c>
      <c r="AA43" s="217">
        <f>ROUND(X43-X42*Z43,2)</f>
        <v>11.23</v>
      </c>
      <c r="AB43" s="218">
        <v>27.073939393939401</v>
      </c>
      <c r="AC43" s="219">
        <v>32.922424242424199</v>
      </c>
      <c r="AD43" s="203">
        <f>ROUND((AC43-AB43)/(AC42-AB42),4)</f>
        <v>1.17E-2</v>
      </c>
      <c r="AE43" s="217">
        <f>ROUND(AB43-AB42*AD43,2)</f>
        <v>11.86</v>
      </c>
      <c r="AF43" s="211">
        <v>30.2842424242424</v>
      </c>
      <c r="AG43" s="212">
        <v>37.6</v>
      </c>
      <c r="AH43" s="203">
        <f>ROUND((AG43-AF43)/(AG42-AF42),4)</f>
        <v>1.46E-2</v>
      </c>
      <c r="AI43" s="217">
        <f>ROUND(AF43-AF42*AH43,2)</f>
        <v>11.3</v>
      </c>
      <c r="AJ43" s="211">
        <v>33.304242424242403</v>
      </c>
      <c r="AK43" s="212">
        <v>41.4</v>
      </c>
      <c r="AL43" s="203">
        <f>ROUND((AK43-AJ43)/(AK42-AJ42),4)</f>
        <v>1.6199999999999999E-2</v>
      </c>
      <c r="AM43" s="217">
        <f>ROUND(AJ43-AJ42*AL43,2)</f>
        <v>12.24</v>
      </c>
      <c r="AN43" s="211">
        <v>33.795757575757598</v>
      </c>
      <c r="AO43" s="212">
        <v>41.9</v>
      </c>
      <c r="AP43" s="203">
        <f>ROUND((AO43-AN43)/(AO42-AN42),4)</f>
        <v>1.6199999999999999E-2</v>
      </c>
      <c r="AQ43" s="217">
        <f>ROUND(AN43-AN42*AP43,2)</f>
        <v>12.74</v>
      </c>
      <c r="AR43" s="211">
        <v>35.284848484848503</v>
      </c>
      <c r="AS43" s="212">
        <v>43.588484848484903</v>
      </c>
      <c r="AT43" s="203">
        <f>ROUND((AS43-AR43)/(AS42-AR42),4)</f>
        <v>1.66E-2</v>
      </c>
      <c r="AU43" s="217">
        <f>ROUND(AR43-AR42*AT43,2)</f>
        <v>13.7</v>
      </c>
    </row>
    <row r="44" spans="1:47">
      <c r="A44" t="s">
        <v>251</v>
      </c>
      <c r="B44" s="163" t="e">
        <f>Задача_НагревательТеплоноситель</f>
        <v>#REF!</v>
      </c>
      <c r="D44" s="133">
        <v>3</v>
      </c>
      <c r="E44" s="133">
        <v>-30</v>
      </c>
      <c r="F44" s="203">
        <f>INDEX($R43:$AU57,$D44,1+VLOOKUP($B43,$B$351:$E$368,4,FALSE))</f>
        <v>9.1999999999999998E-3</v>
      </c>
      <c r="G44" s="203">
        <f>INDEX($R43:$AU57,$D44,2+VLOOKUP($B43,$B$351:$E$368,4,FALSE))</f>
        <v>9.14</v>
      </c>
      <c r="H44" s="203">
        <f>INDEX($R43:$AU57,$D44,5+VLOOKUP($B43,$B$351:$E$368,4,FALSE))</f>
        <v>1.0200000000000001E-2</v>
      </c>
      <c r="I44" s="203">
        <f>INDEX($R43:$AU57,$D44,6+VLOOKUP($B43,$B$351:$E$368,4,FALSE))</f>
        <v>10.24</v>
      </c>
      <c r="J44" s="203">
        <f>INDEX($R43:$AU57,$D44,9+VLOOKUP($B43,$B$351:$E$368,4,FALSE))</f>
        <v>1.04E-2</v>
      </c>
      <c r="K44" s="203">
        <f>INDEX($R43:$AU57,$D44,10+VLOOKUP($B43,$B$351:$E$368,4,FALSE))</f>
        <v>10.28</v>
      </c>
      <c r="L44" s="203">
        <f>INDEX($R43:$AU57,$D44,13+VLOOKUP($B43,$B$351:$E$368,4,FALSE))</f>
        <v>1.0800000000000001E-2</v>
      </c>
      <c r="M44" s="203">
        <f>INDEX($R43:$AU57,$D44,14+VLOOKUP($B43,$B$351:$E$368,4,FALSE))</f>
        <v>10.76</v>
      </c>
      <c r="O44" s="215">
        <v>-35</v>
      </c>
      <c r="P44" s="218">
        <v>22.24</v>
      </c>
      <c r="Q44" s="219">
        <v>27.1</v>
      </c>
      <c r="R44" s="203">
        <f>ROUND((Q44-P44)/(Q42-P42),4)</f>
        <v>9.7000000000000003E-3</v>
      </c>
      <c r="S44" s="217">
        <f>ROUND(P44-P42*R44,2)</f>
        <v>9.6300000000000008</v>
      </c>
      <c r="T44" s="218">
        <v>24.62</v>
      </c>
      <c r="U44" s="219">
        <v>30</v>
      </c>
      <c r="V44" s="203">
        <f>ROUND((U44-T44)/(U42-T42),4)</f>
        <v>1.0800000000000001E-2</v>
      </c>
      <c r="W44" s="217">
        <f>ROUND(T44-T42*V44,2)</f>
        <v>10.58</v>
      </c>
      <c r="X44" s="218">
        <v>24.933333333333401</v>
      </c>
      <c r="Y44" s="219">
        <v>30.366666666666699</v>
      </c>
      <c r="Z44" s="203">
        <f>ROUND((Y44-X44)/(Y42-X42),4)</f>
        <v>1.09E-2</v>
      </c>
      <c r="AA44" s="217">
        <f>ROUND(X44-X42*Z44,2)</f>
        <v>10.76</v>
      </c>
      <c r="AB44" s="218">
        <v>25.953333333333301</v>
      </c>
      <c r="AC44" s="219">
        <v>31.546666666666699</v>
      </c>
      <c r="AD44" s="203">
        <f>ROUND((AC44-AB44)/(AC42-AB42),4)</f>
        <v>1.12E-2</v>
      </c>
      <c r="AE44" s="217">
        <f>ROUND(AB44-AB42*AD44,2)</f>
        <v>11.39</v>
      </c>
      <c r="AF44" s="211">
        <v>28.8466666666667</v>
      </c>
      <c r="AG44" s="212">
        <v>35.799999999999997</v>
      </c>
      <c r="AH44" s="203">
        <f>ROUND((AG44-AF44)/(AG42-AF42),4)</f>
        <v>1.3899999999999999E-2</v>
      </c>
      <c r="AI44" s="217">
        <f>ROUND(AF44-AF42*AH44,2)</f>
        <v>10.78</v>
      </c>
      <c r="AJ44" s="211">
        <v>31.866666666666699</v>
      </c>
      <c r="AK44" s="212">
        <v>39.6</v>
      </c>
      <c r="AL44" s="203">
        <f>ROUND((AK44-AJ44)/(AK42-AJ42),4)</f>
        <v>1.55E-2</v>
      </c>
      <c r="AM44" s="217">
        <f>ROUND(AJ44-AJ42*AL44,2)</f>
        <v>11.72</v>
      </c>
      <c r="AN44" s="211">
        <v>32.353333333333303</v>
      </c>
      <c r="AO44" s="212">
        <v>40.1</v>
      </c>
      <c r="AP44" s="203">
        <f>ROUND((AO44-AN44)/(AO42-AN42),4)</f>
        <v>1.55E-2</v>
      </c>
      <c r="AQ44" s="217">
        <f>ROUND(AN44-AN42*AP44,2)</f>
        <v>12.2</v>
      </c>
      <c r="AR44" s="211">
        <v>33.8333333333333</v>
      </c>
      <c r="AS44" s="212">
        <v>41.773333333333397</v>
      </c>
      <c r="AT44" s="203">
        <f>ROUND((AS44-AR44)/(AS42-AR42),4)</f>
        <v>1.5900000000000001E-2</v>
      </c>
      <c r="AU44" s="217">
        <f>ROUND(AR44-AR42*AT44,2)</f>
        <v>13.16</v>
      </c>
    </row>
    <row r="45" spans="1:47">
      <c r="A45" t="s">
        <v>253</v>
      </c>
      <c r="B45" s="163" t="e">
        <f>VLOOKUP("500x250",ПП_Расчет!C$10:F$19,4,0)</f>
        <v>#REF!</v>
      </c>
      <c r="D45" s="133">
        <v>4</v>
      </c>
      <c r="E45" s="133">
        <v>-25</v>
      </c>
      <c r="F45" s="203">
        <f>INDEX($R43:$AU57,$D45,1+VLOOKUP($B43,$B$351:$E$368,4,FALSE))</f>
        <v>8.8000000000000005E-3</v>
      </c>
      <c r="G45" s="203">
        <f>INDEX($R43:$AU57,$D45,2+VLOOKUP($B43,$B$351:$E$368,4,FALSE))</f>
        <v>8.56</v>
      </c>
      <c r="H45" s="203">
        <f>INDEX($R43:$AU57,$D45,5+VLOOKUP($B43,$B$351:$E$368,4,FALSE))</f>
        <v>9.7999999999999997E-3</v>
      </c>
      <c r="I45" s="203">
        <f>INDEX($R43:$AU57,$D45,6+VLOOKUP($B43,$B$351:$E$368,4,FALSE))</f>
        <v>9.66</v>
      </c>
      <c r="J45" s="203">
        <f>INDEX($R43:$AU57,$D45,9+VLOOKUP($B43,$B$351:$E$368,4,FALSE))</f>
        <v>9.7999999999999997E-3</v>
      </c>
      <c r="K45" s="203">
        <f>INDEX($R43:$AU57,$D45,10+VLOOKUP($B43,$B$351:$E$368,4,FALSE))</f>
        <v>9.9600000000000009</v>
      </c>
      <c r="L45" s="203">
        <f>INDEX($R43:$AU57,$D45,13+VLOOKUP($B43,$B$351:$E$368,4,FALSE))</f>
        <v>1.0200000000000001E-2</v>
      </c>
      <c r="M45" s="203">
        <f>INDEX($R43:$AU57,$D45,14+VLOOKUP($B43,$B$351:$E$368,4,FALSE))</f>
        <v>10.44</v>
      </c>
      <c r="O45" s="215">
        <v>-30</v>
      </c>
      <c r="P45" s="218">
        <v>21.1</v>
      </c>
      <c r="Q45" s="219">
        <v>25.7</v>
      </c>
      <c r="R45" s="203">
        <f>ROUND((Q45-P45)/(Q42-P42),4)</f>
        <v>9.1999999999999998E-3</v>
      </c>
      <c r="S45" s="217">
        <f>ROUND(P45-P42*R45,2)</f>
        <v>9.14</v>
      </c>
      <c r="T45" s="218">
        <v>23.5</v>
      </c>
      <c r="U45" s="219">
        <v>28.6</v>
      </c>
      <c r="V45" s="203">
        <f>ROUND((U45-T45)/(U42-T42),4)</f>
        <v>1.0200000000000001E-2</v>
      </c>
      <c r="W45" s="217">
        <f>ROUND(T45-T42*V45,2)</f>
        <v>10.24</v>
      </c>
      <c r="X45" s="218">
        <v>23.8</v>
      </c>
      <c r="Y45" s="219">
        <v>29</v>
      </c>
      <c r="Z45" s="203">
        <f>ROUND((Y45-X45)/(Y42-X42),4)</f>
        <v>1.04E-2</v>
      </c>
      <c r="AA45" s="217">
        <f>ROUND(X45-X42*Z45,2)</f>
        <v>10.28</v>
      </c>
      <c r="AB45" s="218">
        <v>24.8</v>
      </c>
      <c r="AC45" s="219">
        <v>30.2</v>
      </c>
      <c r="AD45" s="203">
        <f>ROUND((AC45-AB45)/(AC42-AB42),4)</f>
        <v>1.0800000000000001E-2</v>
      </c>
      <c r="AE45" s="217">
        <f>ROUND(AB45-AB42*AD45,2)</f>
        <v>10.76</v>
      </c>
      <c r="AF45" s="211">
        <v>27.4</v>
      </c>
      <c r="AG45" s="212">
        <v>34</v>
      </c>
      <c r="AH45" s="203">
        <f>ROUND((AG45-AF45)/(AG42-AF42),4)</f>
        <v>1.32E-2</v>
      </c>
      <c r="AI45" s="217">
        <f>ROUND(AF45-AF42*AH45,2)</f>
        <v>10.24</v>
      </c>
      <c r="AJ45" s="211">
        <v>30.4</v>
      </c>
      <c r="AK45" s="212">
        <v>37.799999999999997</v>
      </c>
      <c r="AL45" s="203">
        <f>ROUND((AK45-AJ45)/(AK42-AJ42),4)</f>
        <v>1.4800000000000001E-2</v>
      </c>
      <c r="AM45" s="217">
        <f>ROUND(AJ45-AJ42*AL45,2)</f>
        <v>11.16</v>
      </c>
      <c r="AN45" s="211">
        <v>30.9</v>
      </c>
      <c r="AO45" s="212">
        <v>38.299999999999997</v>
      </c>
      <c r="AP45" s="203">
        <f>ROUND((AO45-AN45)/(AO42-AN42),4)</f>
        <v>1.4800000000000001E-2</v>
      </c>
      <c r="AQ45" s="217">
        <f>ROUND(AN45-AN42*AP45,2)</f>
        <v>11.66</v>
      </c>
      <c r="AR45" s="211">
        <v>32.4</v>
      </c>
      <c r="AS45" s="212">
        <v>40</v>
      </c>
      <c r="AT45" s="203">
        <f>ROUND((AS45-AR45)/(AS42-AR42),4)</f>
        <v>1.52E-2</v>
      </c>
      <c r="AU45" s="217">
        <f>ROUND(AR45-AR42*AT45,2)</f>
        <v>12.64</v>
      </c>
    </row>
    <row r="46" spans="1:47">
      <c r="D46" s="133">
        <v>5</v>
      </c>
      <c r="E46" s="133">
        <v>-20</v>
      </c>
      <c r="F46" s="203">
        <f>INDEX($R43:$AU57,$D46,1+VLOOKUP($B43,$B$351:$E$368,4,FALSE))</f>
        <v>8.2000000000000007E-3</v>
      </c>
      <c r="G46" s="203">
        <f>INDEX($R43:$AU57,$D46,2+VLOOKUP($B43,$B$351:$E$368,4,FALSE))</f>
        <v>8.24</v>
      </c>
      <c r="H46" s="203">
        <f>INDEX($R43:$AU57,$D46,5+VLOOKUP($B43,$B$351:$E$368,4,FALSE))</f>
        <v>9.1999999999999998E-3</v>
      </c>
      <c r="I46" s="203">
        <f>INDEX($R43:$AU57,$D46,6+VLOOKUP($B43,$B$351:$E$368,4,FALSE))</f>
        <v>9.34</v>
      </c>
      <c r="J46" s="203">
        <f>INDEX($R43:$AU57,$D46,9+VLOOKUP($B43,$B$351:$E$368,4,FALSE))</f>
        <v>9.4000000000000004E-3</v>
      </c>
      <c r="K46" s="203">
        <f>INDEX($R43:$AU57,$D46,10+VLOOKUP($B43,$B$351:$E$368,4,FALSE))</f>
        <v>9.3800000000000008</v>
      </c>
      <c r="L46" s="203">
        <f>INDEX($R43:$AU57,$D46,13+VLOOKUP($B43,$B$351:$E$368,4,FALSE))</f>
        <v>9.5999999999999992E-3</v>
      </c>
      <c r="M46" s="203">
        <f>INDEX($R43:$AU57,$D46,14+VLOOKUP($B43,$B$351:$E$368,4,FALSE))</f>
        <v>10.119999999999999</v>
      </c>
      <c r="O46" s="215">
        <v>-25</v>
      </c>
      <c r="P46" s="218">
        <v>20</v>
      </c>
      <c r="Q46" s="219">
        <v>24.4</v>
      </c>
      <c r="R46" s="203">
        <f>ROUND((Q46-P46)/(Q42-P42),4)</f>
        <v>8.8000000000000005E-3</v>
      </c>
      <c r="S46" s="217">
        <f>ROUND(P46-P42*R46,2)</f>
        <v>8.56</v>
      </c>
      <c r="T46" s="218">
        <v>22.4</v>
      </c>
      <c r="U46" s="219">
        <v>27.3</v>
      </c>
      <c r="V46" s="203">
        <f>ROUND((U46-T46)/(U42-T42),4)</f>
        <v>9.7999999999999997E-3</v>
      </c>
      <c r="W46" s="217">
        <f>ROUND(T46-T42*V46,2)</f>
        <v>9.66</v>
      </c>
      <c r="X46" s="218">
        <v>22.7</v>
      </c>
      <c r="Y46" s="219">
        <v>27.6</v>
      </c>
      <c r="Z46" s="203">
        <f>ROUND((Y46-X46)/(Y42-X42),4)</f>
        <v>9.7999999999999997E-3</v>
      </c>
      <c r="AA46" s="217">
        <f>ROUND(X46-X42*Z46,2)</f>
        <v>9.9600000000000009</v>
      </c>
      <c r="AB46" s="218">
        <v>23.7</v>
      </c>
      <c r="AC46" s="219">
        <v>28.8</v>
      </c>
      <c r="AD46" s="203">
        <f>ROUND((AC46-AB46)/(AC42-AB42),4)</f>
        <v>1.0200000000000001E-2</v>
      </c>
      <c r="AE46" s="217">
        <f>ROUND(AB46-AB42*AD46,2)</f>
        <v>10.44</v>
      </c>
      <c r="AF46" s="211">
        <v>26</v>
      </c>
      <c r="AG46" s="212">
        <v>32.200000000000003</v>
      </c>
      <c r="AH46" s="203">
        <f>ROUND((AG46-AF46)/(AG42-AF42),4)</f>
        <v>1.24E-2</v>
      </c>
      <c r="AI46" s="217">
        <f>ROUND(AF46-AF42*AH46,2)</f>
        <v>9.8800000000000008</v>
      </c>
      <c r="AJ46" s="211">
        <v>29</v>
      </c>
      <c r="AK46" s="212">
        <v>36</v>
      </c>
      <c r="AL46" s="203">
        <f>ROUND((AK46-AJ46)/(AK42-AJ42),4)</f>
        <v>1.4E-2</v>
      </c>
      <c r="AM46" s="217">
        <f>ROUND(AJ46-AJ42*AL46,2)</f>
        <v>10.8</v>
      </c>
      <c r="AN46" s="211">
        <v>29.5</v>
      </c>
      <c r="AO46" s="212">
        <v>36.5</v>
      </c>
      <c r="AP46" s="203">
        <f>ROUND((AO46-AN46)/(AO42-AN42),4)</f>
        <v>1.4E-2</v>
      </c>
      <c r="AQ46" s="217">
        <f>ROUND(AN46-AN42*AP46,2)</f>
        <v>11.3</v>
      </c>
      <c r="AR46" s="211">
        <v>30.9</v>
      </c>
      <c r="AS46" s="212">
        <v>38.1</v>
      </c>
      <c r="AT46" s="203">
        <f>ROUND((AS46-AR46)/(AS42-AR42),4)</f>
        <v>1.44E-2</v>
      </c>
      <c r="AU46" s="217">
        <f>ROUND(AR46-AR42*AT46,2)</f>
        <v>12.18</v>
      </c>
    </row>
    <row r="47" spans="1:47">
      <c r="A47" t="s">
        <v>66</v>
      </c>
      <c r="B47" s="163" t="e">
        <f>VLOOKUP(B45,E42:M56,VLOOKUP(B44,B$345:D$348,2,FALSE))</f>
        <v>#REF!</v>
      </c>
      <c r="D47" s="133">
        <v>6</v>
      </c>
      <c r="E47" s="133">
        <v>-15</v>
      </c>
      <c r="F47" s="203">
        <f>INDEX($R43:$AU57,$D47,1+VLOOKUP($B43,$B$351:$E$368,4,FALSE))</f>
        <v>7.6E-3</v>
      </c>
      <c r="G47" s="203">
        <f>INDEX($R43:$AU57,$D47,2+VLOOKUP($B43,$B$351:$E$368,4,FALSE))</f>
        <v>7.92</v>
      </c>
      <c r="H47" s="203">
        <f>INDEX($R43:$AU57,$D47,5+VLOOKUP($B43,$B$351:$E$368,4,FALSE))</f>
        <v>8.8000000000000005E-3</v>
      </c>
      <c r="I47" s="203">
        <f>INDEX($R43:$AU57,$D47,6+VLOOKUP($B43,$B$351:$E$368,4,FALSE))</f>
        <v>8.66</v>
      </c>
      <c r="J47" s="203">
        <f>INDEX($R43:$AU57,$D47,9+VLOOKUP($B43,$B$351:$E$368,4,FALSE))</f>
        <v>8.8000000000000005E-3</v>
      </c>
      <c r="K47" s="203">
        <f>INDEX($R43:$AU57,$D47,10+VLOOKUP($B43,$B$351:$E$368,4,FALSE))</f>
        <v>9.06</v>
      </c>
      <c r="L47" s="203">
        <f>INDEX($R43:$AU57,$D47,13+VLOOKUP($B43,$B$351:$E$368,4,FALSE))</f>
        <v>8.9999999999999993E-3</v>
      </c>
      <c r="M47" s="203">
        <f>INDEX($R43:$AU57,$D47,14+VLOOKUP($B43,$B$351:$E$368,4,FALSE))</f>
        <v>9.8000000000000007</v>
      </c>
      <c r="O47" s="215">
        <v>-20</v>
      </c>
      <c r="P47" s="218">
        <v>18.899999999999999</v>
      </c>
      <c r="Q47" s="219">
        <v>23</v>
      </c>
      <c r="R47" s="203">
        <f>ROUND((Q47-P47)/(Q42-P42),4)</f>
        <v>8.2000000000000007E-3</v>
      </c>
      <c r="S47" s="217">
        <f>ROUND(P47-P42*R47,2)</f>
        <v>8.24</v>
      </c>
      <c r="T47" s="218">
        <v>21.3</v>
      </c>
      <c r="U47" s="219">
        <v>25.9</v>
      </c>
      <c r="V47" s="203">
        <f>ROUND((U47-T47)/(U42-T42),4)</f>
        <v>9.1999999999999998E-3</v>
      </c>
      <c r="W47" s="217">
        <f>ROUND(T47-T42*V47,2)</f>
        <v>9.34</v>
      </c>
      <c r="X47" s="218">
        <v>21.6</v>
      </c>
      <c r="Y47" s="219">
        <v>26.3</v>
      </c>
      <c r="Z47" s="203">
        <f>ROUND((Y47-X47)/(Y42-X42),4)</f>
        <v>9.4000000000000004E-3</v>
      </c>
      <c r="AA47" s="217">
        <f>ROUND(X47-X42*Z47,2)</f>
        <v>9.3800000000000008</v>
      </c>
      <c r="AB47" s="218">
        <v>22.6</v>
      </c>
      <c r="AC47" s="219">
        <v>27.4</v>
      </c>
      <c r="AD47" s="203">
        <f>ROUND((AC47-AB47)/(AC42-AB42),4)</f>
        <v>9.5999999999999992E-3</v>
      </c>
      <c r="AE47" s="217">
        <f>ROUND(AB47-AB42*AD47,2)</f>
        <v>10.119999999999999</v>
      </c>
      <c r="AF47" s="211">
        <v>24.5</v>
      </c>
      <c r="AG47" s="212">
        <v>30.4</v>
      </c>
      <c r="AH47" s="203">
        <f>ROUND((AG47-AF47)/(AG42-AF42),4)</f>
        <v>1.18E-2</v>
      </c>
      <c r="AI47" s="217">
        <f>ROUND(AF47-AF42*AH47,2)</f>
        <v>9.16</v>
      </c>
      <c r="AJ47" s="211">
        <v>27.6</v>
      </c>
      <c r="AK47" s="212">
        <v>34.200000000000003</v>
      </c>
      <c r="AL47" s="203">
        <f>ROUND((AK47-AJ47)/(AK42-AJ42),4)</f>
        <v>1.32E-2</v>
      </c>
      <c r="AM47" s="217">
        <f>ROUND(AJ47-AJ42*AL47,2)</f>
        <v>10.44</v>
      </c>
      <c r="AN47" s="211">
        <v>28</v>
      </c>
      <c r="AO47" s="212">
        <v>34.700000000000003</v>
      </c>
      <c r="AP47" s="203">
        <f>ROUND((AO47-AN47)/(AO42-AN42),4)</f>
        <v>1.34E-2</v>
      </c>
      <c r="AQ47" s="217">
        <f>ROUND(AN47-AN42*AP47,2)</f>
        <v>10.58</v>
      </c>
      <c r="AR47" s="211">
        <v>29.5</v>
      </c>
      <c r="AS47" s="212">
        <v>36.299999999999997</v>
      </c>
      <c r="AT47" s="203">
        <f>ROUND((AS47-AR47)/(AS42-AR42),4)</f>
        <v>1.3599999999999999E-2</v>
      </c>
      <c r="AU47" s="217">
        <f>ROUND(AR47-AR42*AT47,2)</f>
        <v>11.82</v>
      </c>
    </row>
    <row r="48" spans="1:47">
      <c r="A48" t="s">
        <v>249</v>
      </c>
      <c r="B48" s="163" t="e">
        <f>VLOOKUP(B45,E42:M56,VLOOKUP(B44,B$345:D$348,3,FALSE))</f>
        <v>#REF!</v>
      </c>
      <c r="D48" s="133">
        <v>7</v>
      </c>
      <c r="E48" s="133">
        <v>-10</v>
      </c>
      <c r="F48" s="203">
        <f>INDEX($R43:$AU57,$D48,1+VLOOKUP($B43,$B$351:$E$368,4,FALSE))</f>
        <v>7.1999999999999998E-3</v>
      </c>
      <c r="G48" s="203">
        <f>INDEX($R43:$AU57,$D48,2+VLOOKUP($B43,$B$351:$E$368,4,FALSE))</f>
        <v>7.34</v>
      </c>
      <c r="H48" s="203">
        <f>INDEX($R43:$AU57,$D48,5+VLOOKUP($B43,$B$351:$E$368,4,FALSE))</f>
        <v>8.3999999999999995E-3</v>
      </c>
      <c r="I48" s="203">
        <f>INDEX($R43:$AU57,$D48,6+VLOOKUP($B43,$B$351:$E$368,4,FALSE))</f>
        <v>8.08</v>
      </c>
      <c r="J48" s="203">
        <f>INDEX($R43:$AU57,$D48,9+VLOOKUP($B43,$B$351:$E$368,4,FALSE))</f>
        <v>8.2000000000000007E-3</v>
      </c>
      <c r="K48" s="203">
        <f>INDEX($R43:$AU57,$D48,10+VLOOKUP($B43,$B$351:$E$368,4,FALSE))</f>
        <v>8.74</v>
      </c>
      <c r="L48" s="203">
        <f>INDEX($R43:$AU57,$D48,13+VLOOKUP($B43,$B$351:$E$368,4,FALSE))</f>
        <v>8.6E-3</v>
      </c>
      <c r="M48" s="203">
        <f>INDEX($R43:$AU57,$D48,14+VLOOKUP($B43,$B$351:$E$368,4,FALSE))</f>
        <v>9.2200000000000006</v>
      </c>
      <c r="O48" s="215">
        <v>-15</v>
      </c>
      <c r="P48" s="218">
        <v>17.8</v>
      </c>
      <c r="Q48" s="219">
        <v>21.6</v>
      </c>
      <c r="R48" s="203">
        <f>ROUND((Q48-P48)/(Q42-P42),4)</f>
        <v>7.6E-3</v>
      </c>
      <c r="S48" s="217">
        <f>ROUND(P48-P42*R48,2)</f>
        <v>7.92</v>
      </c>
      <c r="T48" s="218">
        <v>20.100000000000001</v>
      </c>
      <c r="U48" s="219">
        <v>24.5</v>
      </c>
      <c r="V48" s="203">
        <f>ROUND((U48-T48)/(U42-T42),4)</f>
        <v>8.8000000000000005E-3</v>
      </c>
      <c r="W48" s="217">
        <f>ROUND(T48-T42*V48,2)</f>
        <v>8.66</v>
      </c>
      <c r="X48" s="218">
        <v>20.5</v>
      </c>
      <c r="Y48" s="219">
        <v>24.9</v>
      </c>
      <c r="Z48" s="203">
        <f>ROUND((Y48-X48)/(Y42-X42),4)</f>
        <v>8.8000000000000005E-3</v>
      </c>
      <c r="AA48" s="217">
        <f>ROUND(X48-X42*Z48,2)</f>
        <v>9.06</v>
      </c>
      <c r="AB48" s="218">
        <v>21.5</v>
      </c>
      <c r="AC48" s="219">
        <v>26</v>
      </c>
      <c r="AD48" s="203">
        <f>ROUND((AC48-AB48)/(AC42-AB42),4)</f>
        <v>8.9999999999999993E-3</v>
      </c>
      <c r="AE48" s="217">
        <f>ROUND(AB48-AB42*AD48,2)</f>
        <v>9.8000000000000007</v>
      </c>
      <c r="AF48" s="211">
        <v>23.1</v>
      </c>
      <c r="AG48" s="212">
        <v>28.6</v>
      </c>
      <c r="AH48" s="203">
        <f>ROUND((AG48-AF48)/(AG42-AF42),4)</f>
        <v>1.0999999999999999E-2</v>
      </c>
      <c r="AI48" s="217">
        <f>ROUND(AF48-AF42*AH48,2)</f>
        <v>8.8000000000000007</v>
      </c>
      <c r="AJ48" s="211">
        <v>26.1</v>
      </c>
      <c r="AK48" s="212">
        <v>32.4</v>
      </c>
      <c r="AL48" s="203">
        <f>ROUND((AK48-AJ48)/(AK42-AJ42),4)</f>
        <v>1.26E-2</v>
      </c>
      <c r="AM48" s="217">
        <f>ROUND(AJ48-AJ42*AL48,2)</f>
        <v>9.7200000000000006</v>
      </c>
      <c r="AN48" s="211">
        <v>26.6</v>
      </c>
      <c r="AO48" s="212">
        <v>32.9</v>
      </c>
      <c r="AP48" s="203">
        <f>ROUND((AO48-AN48)/(AO42-AN42),4)</f>
        <v>1.26E-2</v>
      </c>
      <c r="AQ48" s="217">
        <f>ROUND(AN48-AN42*AP48,2)</f>
        <v>10.220000000000001</v>
      </c>
      <c r="AR48" s="211">
        <v>28</v>
      </c>
      <c r="AS48" s="212">
        <v>34.5</v>
      </c>
      <c r="AT48" s="203">
        <f>ROUND((AS48-AR48)/(AS42-AR42),4)</f>
        <v>1.2999999999999999E-2</v>
      </c>
      <c r="AU48" s="217">
        <f>ROUND(AR48-AR42*AT48,2)</f>
        <v>11.1</v>
      </c>
    </row>
    <row r="49" spans="1:47">
      <c r="D49" s="133">
        <v>8</v>
      </c>
      <c r="E49" s="133">
        <v>-5</v>
      </c>
      <c r="F49" s="203">
        <f>INDEX($R43:$AU57,$D49,1+VLOOKUP($B43,$B$351:$E$368,4,FALSE))</f>
        <v>6.6E-3</v>
      </c>
      <c r="G49" s="203">
        <f>INDEX($R43:$AU57,$D49,2+VLOOKUP($B43,$B$351:$E$368,4,FALSE))</f>
        <v>7.02</v>
      </c>
      <c r="H49" s="203">
        <f>INDEX($R43:$AU57,$D49,5+VLOOKUP($B43,$B$351:$E$368,4,FALSE))</f>
        <v>7.7999999999999996E-3</v>
      </c>
      <c r="I49" s="203">
        <f>INDEX($R43:$AU57,$D49,6+VLOOKUP($B43,$B$351:$E$368,4,FALSE))</f>
        <v>7.76</v>
      </c>
      <c r="J49" s="203">
        <f>INDEX($R43:$AU57,$D49,9+VLOOKUP($B43,$B$351:$E$368,4,FALSE))</f>
        <v>7.7999999999999996E-3</v>
      </c>
      <c r="K49" s="203">
        <f>INDEX($R43:$AU57,$D49,10+VLOOKUP($B43,$B$351:$E$368,4,FALSE))</f>
        <v>8.06</v>
      </c>
      <c r="L49" s="203">
        <f>INDEX($R43:$AU57,$D49,13+VLOOKUP($B43,$B$351:$E$368,4,FALSE))</f>
        <v>8.2000000000000007E-3</v>
      </c>
      <c r="M49" s="203">
        <f>INDEX($R43:$AU57,$D49,14+VLOOKUP($B43,$B$351:$E$368,4,FALSE))</f>
        <v>8.5399999999999991</v>
      </c>
      <c r="O49" s="215">
        <v>-10</v>
      </c>
      <c r="P49" s="218">
        <v>16.7</v>
      </c>
      <c r="Q49" s="219">
        <v>20.3</v>
      </c>
      <c r="R49" s="203">
        <f>ROUND((Q49-P49)/(Q42-P42),4)</f>
        <v>7.1999999999999998E-3</v>
      </c>
      <c r="S49" s="217">
        <f>ROUND(P49-P42*R49,2)</f>
        <v>7.34</v>
      </c>
      <c r="T49" s="218">
        <v>19</v>
      </c>
      <c r="U49" s="219">
        <v>23.2</v>
      </c>
      <c r="V49" s="203">
        <f>ROUND((U49-T49)/(U42-T42),4)</f>
        <v>8.3999999999999995E-3</v>
      </c>
      <c r="W49" s="217">
        <f>ROUND(T49-T42*V49,2)</f>
        <v>8.08</v>
      </c>
      <c r="X49" s="218">
        <v>19.399999999999999</v>
      </c>
      <c r="Y49" s="219">
        <v>23.5</v>
      </c>
      <c r="Z49" s="203">
        <f>ROUND((Y49-X49)/(Y42-X42),4)</f>
        <v>8.2000000000000007E-3</v>
      </c>
      <c r="AA49" s="217">
        <f>ROUND(X49-X42*Z49,2)</f>
        <v>8.74</v>
      </c>
      <c r="AB49" s="218">
        <v>20.399999999999999</v>
      </c>
      <c r="AC49" s="219">
        <v>24.7</v>
      </c>
      <c r="AD49" s="203">
        <f>ROUND((AC49-AB49)/(AC42-AB42),4)</f>
        <v>8.6E-3</v>
      </c>
      <c r="AE49" s="217">
        <f>ROUND(AB49-AB42*AD49,2)</f>
        <v>9.2200000000000006</v>
      </c>
      <c r="AF49" s="211">
        <v>21.7</v>
      </c>
      <c r="AG49" s="212">
        <v>26.8</v>
      </c>
      <c r="AH49" s="203">
        <f>ROUND((AG49-AF49)/(AG42-AF42),4)</f>
        <v>1.0200000000000001E-2</v>
      </c>
      <c r="AI49" s="217">
        <f>ROUND(AF49-AF42*AH49,2)</f>
        <v>8.44</v>
      </c>
      <c r="AJ49" s="211">
        <v>24.7</v>
      </c>
      <c r="AK49" s="212">
        <v>30.6</v>
      </c>
      <c r="AL49" s="203">
        <f>ROUND((AK49-AJ49)/(AK42-AJ42),4)</f>
        <v>1.18E-2</v>
      </c>
      <c r="AM49" s="217">
        <f>ROUND(AJ49-AJ42*AL49,2)</f>
        <v>9.36</v>
      </c>
      <c r="AN49" s="211">
        <v>25.1</v>
      </c>
      <c r="AO49" s="212">
        <v>31.1</v>
      </c>
      <c r="AP49" s="203">
        <f>ROUND((AO49-AN49)/(AO42-AN42),4)</f>
        <v>1.2E-2</v>
      </c>
      <c r="AQ49" s="217">
        <f>ROUND(AN49-AN42*AP49,2)</f>
        <v>9.5</v>
      </c>
      <c r="AR49" s="211">
        <v>26.6</v>
      </c>
      <c r="AS49" s="212">
        <v>32.700000000000003</v>
      </c>
      <c r="AT49" s="203">
        <f>ROUND((AS49-AR49)/(AS42-AR42),4)</f>
        <v>1.2200000000000001E-2</v>
      </c>
      <c r="AU49" s="217">
        <f>ROUND(AR49-AR42*AT49,2)</f>
        <v>10.74</v>
      </c>
    </row>
    <row r="50" spans="1:47">
      <c r="A50" t="s">
        <v>254</v>
      </c>
      <c r="B50" s="163" t="e">
        <f>B42*B47+B48</f>
        <v>#REF!</v>
      </c>
      <c r="D50" s="133">
        <v>9</v>
      </c>
      <c r="E50" s="133">
        <v>0</v>
      </c>
      <c r="F50" s="203">
        <f>INDEX($R43:$AU57,$D50,1+VLOOKUP($B43,$B$351:$E$368,4,FALSE))</f>
        <v>6.1999999999999998E-3</v>
      </c>
      <c r="G50" s="203">
        <f>INDEX($R43:$AU57,$D50,2+VLOOKUP($B43,$B$351:$E$368,4,FALSE))</f>
        <v>6.34</v>
      </c>
      <c r="H50" s="203">
        <f>INDEX($R43:$AU57,$D50,5+VLOOKUP($B43,$B$351:$E$368,4,FALSE))</f>
        <v>7.1999999999999998E-3</v>
      </c>
      <c r="I50" s="203">
        <f>INDEX($R43:$AU57,$D50,6+VLOOKUP($B43,$B$351:$E$368,4,FALSE))</f>
        <v>7.44</v>
      </c>
      <c r="J50" s="203">
        <f>INDEX($R43:$AU57,$D50,9+VLOOKUP($B43,$B$351:$E$368,4,FALSE))</f>
        <v>7.4000000000000003E-3</v>
      </c>
      <c r="K50" s="203">
        <f>INDEX($R43:$AU57,$D50,10+VLOOKUP($B43,$B$351:$E$368,4,FALSE))</f>
        <v>7.48</v>
      </c>
      <c r="L50" s="203">
        <f>INDEX($R43:$AU57,$D50,13+VLOOKUP($B43,$B$351:$E$368,4,FALSE))</f>
        <v>7.6E-3</v>
      </c>
      <c r="M50" s="203">
        <f>INDEX($R43:$AU57,$D50,14+VLOOKUP($B43,$B$351:$E$368,4,FALSE))</f>
        <v>8.2200000000000006</v>
      </c>
      <c r="O50" s="215">
        <v>-5</v>
      </c>
      <c r="P50" s="218">
        <v>15.6</v>
      </c>
      <c r="Q50" s="219">
        <v>18.899999999999999</v>
      </c>
      <c r="R50" s="203">
        <f>ROUND((Q50-P50)/(Q42-P42),4)</f>
        <v>6.6E-3</v>
      </c>
      <c r="S50" s="217">
        <f>ROUND(P50-P42*R50,2)</f>
        <v>7.02</v>
      </c>
      <c r="T50" s="218">
        <v>17.899999999999999</v>
      </c>
      <c r="U50" s="219">
        <v>21.8</v>
      </c>
      <c r="V50" s="203">
        <f>ROUND((U50-T50)/(U42-T42),4)</f>
        <v>7.7999999999999996E-3</v>
      </c>
      <c r="W50" s="217">
        <f>ROUND(T50-T42*V50,2)</f>
        <v>7.76</v>
      </c>
      <c r="X50" s="218">
        <v>18.2</v>
      </c>
      <c r="Y50" s="219">
        <v>22.1</v>
      </c>
      <c r="Z50" s="203">
        <f>ROUND((Y50-X50)/(Y42-X42),4)</f>
        <v>7.7999999999999996E-3</v>
      </c>
      <c r="AA50" s="217">
        <f>ROUND(X50-X42*Z50,2)</f>
        <v>8.06</v>
      </c>
      <c r="AB50" s="218">
        <v>19.2</v>
      </c>
      <c r="AC50" s="219">
        <v>23.3</v>
      </c>
      <c r="AD50" s="203">
        <f>ROUND((AC50-AB50)/(AC42-AB42),4)</f>
        <v>8.2000000000000007E-3</v>
      </c>
      <c r="AE50" s="217">
        <f>ROUND(AB50-AB42*AD50,2)</f>
        <v>8.5399999999999991</v>
      </c>
      <c r="AF50" s="211">
        <v>20.2</v>
      </c>
      <c r="AG50" s="212">
        <v>25</v>
      </c>
      <c r="AH50" s="203">
        <f>ROUND((AG50-AF50)/(AG42-AF42),4)</f>
        <v>9.5999999999999992E-3</v>
      </c>
      <c r="AI50" s="217">
        <f>ROUND(AF50-AF42*AH50,2)</f>
        <v>7.72</v>
      </c>
      <c r="AJ50" s="211">
        <v>23.2</v>
      </c>
      <c r="AK50" s="212">
        <v>28.8</v>
      </c>
      <c r="AL50" s="203">
        <f>ROUND((AK50-AJ50)/(AK42-AJ42),4)</f>
        <v>1.12E-2</v>
      </c>
      <c r="AM50" s="217">
        <f>ROUND(AJ50-AJ42*AL50,2)</f>
        <v>8.64</v>
      </c>
      <c r="AN50" s="211">
        <v>23.7</v>
      </c>
      <c r="AO50" s="212">
        <v>29.3</v>
      </c>
      <c r="AP50" s="203">
        <f>ROUND((AO50-AN50)/(AO42-AN42),4)</f>
        <v>1.12E-2</v>
      </c>
      <c r="AQ50" s="217">
        <f>ROUND(AN50-AN42*AP50,2)</f>
        <v>9.14</v>
      </c>
      <c r="AR50" s="211">
        <v>25.1</v>
      </c>
      <c r="AS50" s="212">
        <v>30.9</v>
      </c>
      <c r="AT50" s="203">
        <f>ROUND((AS50-AR50)/(AS42-AR42),4)</f>
        <v>1.1599999999999999E-2</v>
      </c>
      <c r="AU50" s="217">
        <f>ROUND(AR50-AR42*AT50,2)</f>
        <v>10.02</v>
      </c>
    </row>
    <row r="51" spans="1:47">
      <c r="A51" t="s">
        <v>255</v>
      </c>
      <c r="B51" s="163" t="e">
        <f>ROUND(B50/(0.000335*B42),1)+B45</f>
        <v>#REF!</v>
      </c>
      <c r="D51" s="133">
        <v>10</v>
      </c>
      <c r="E51" s="133">
        <v>5</v>
      </c>
      <c r="F51" s="203">
        <f>INDEX($R43:$AU57,$D51,1+VLOOKUP($B43,$B$351:$E$368,4,FALSE))</f>
        <v>5.7999999999999996E-3</v>
      </c>
      <c r="G51" s="203">
        <f>INDEX($R43:$AU57,$D51,2+VLOOKUP($B43,$B$351:$E$368,4,FALSE))</f>
        <v>5.76</v>
      </c>
      <c r="H51" s="203">
        <f>INDEX($R43:$AU57,$D51,5+VLOOKUP($B43,$B$351:$E$368,4,FALSE))</f>
        <v>6.7999999999999996E-3</v>
      </c>
      <c r="I51" s="203">
        <f>INDEX($R43:$AU57,$D51,6+VLOOKUP($B43,$B$351:$E$368,4,FALSE))</f>
        <v>6.86</v>
      </c>
      <c r="J51" s="203">
        <f>INDEX($R43:$AU57,$D51,9+VLOOKUP($B43,$B$351:$E$368,4,FALSE))</f>
        <v>6.7999999999999996E-3</v>
      </c>
      <c r="K51" s="203">
        <f>INDEX($R43:$AU57,$D51,10+VLOOKUP($B43,$B$351:$E$368,4,FALSE))</f>
        <v>7.16</v>
      </c>
      <c r="L51" s="203">
        <f>INDEX($R43:$AU57,$D51,13+VLOOKUP($B43,$B$351:$E$368,4,FALSE))</f>
        <v>7.0000000000000001E-3</v>
      </c>
      <c r="M51" s="203">
        <f>INDEX($R43:$AU57,$D51,14+VLOOKUP($B43,$B$351:$E$368,4,FALSE))</f>
        <v>7.9</v>
      </c>
      <c r="O51" s="215">
        <v>0</v>
      </c>
      <c r="P51" s="218">
        <v>14.4</v>
      </c>
      <c r="Q51" s="219">
        <v>17.5</v>
      </c>
      <c r="R51" s="203">
        <f>ROUND((Q51-P51)/(Q42-P42),4)</f>
        <v>6.1999999999999998E-3</v>
      </c>
      <c r="S51" s="217">
        <f>ROUND(P51-P42*R51,2)</f>
        <v>6.34</v>
      </c>
      <c r="T51" s="218">
        <v>16.8</v>
      </c>
      <c r="U51" s="219">
        <v>20.399999999999999</v>
      </c>
      <c r="V51" s="203">
        <f>ROUND((U51-T51)/(U42-T42),4)</f>
        <v>7.1999999999999998E-3</v>
      </c>
      <c r="W51" s="217">
        <f>ROUND(T51-T42*V51,2)</f>
        <v>7.44</v>
      </c>
      <c r="X51" s="218">
        <v>17.100000000000001</v>
      </c>
      <c r="Y51" s="219">
        <v>20.8</v>
      </c>
      <c r="Z51" s="203">
        <f>ROUND((Y51-X51)/(Y42-X42),4)</f>
        <v>7.4000000000000003E-3</v>
      </c>
      <c r="AA51" s="217">
        <f>ROUND(X51-X42*Z51,2)</f>
        <v>7.48</v>
      </c>
      <c r="AB51" s="218">
        <v>18.100000000000001</v>
      </c>
      <c r="AC51" s="219">
        <v>21.9</v>
      </c>
      <c r="AD51" s="203">
        <f>ROUND((AC51-AB51)/(AC42-AB42),4)</f>
        <v>7.6E-3</v>
      </c>
      <c r="AE51" s="217">
        <f>ROUND(AB51-AB42*AD51,2)</f>
        <v>8.2200000000000006</v>
      </c>
      <c r="AF51" s="211">
        <v>18.8</v>
      </c>
      <c r="AG51" s="212">
        <v>23.2</v>
      </c>
      <c r="AH51" s="203">
        <f>ROUND((AG51-AF51)/(AG42-AF42),4)</f>
        <v>8.8000000000000005E-3</v>
      </c>
      <c r="AI51" s="217">
        <f>ROUND(AF51-AF42*AH51,2)</f>
        <v>7.36</v>
      </c>
      <c r="AJ51" s="211">
        <v>21.8</v>
      </c>
      <c r="AK51" s="212">
        <v>27</v>
      </c>
      <c r="AL51" s="203">
        <f>ROUND((AK51-AJ51)/(AK42-AJ42),4)</f>
        <v>1.04E-2</v>
      </c>
      <c r="AM51" s="217">
        <f>ROUND(AJ51-AJ42*AL51,2)</f>
        <v>8.2799999999999994</v>
      </c>
      <c r="AN51" s="211">
        <v>22.3</v>
      </c>
      <c r="AO51" s="212">
        <v>27.5</v>
      </c>
      <c r="AP51" s="203">
        <f>ROUND((AO51-AN51)/(AO42-AN42),4)</f>
        <v>1.04E-2</v>
      </c>
      <c r="AQ51" s="217">
        <f>ROUND(AN51-AN42*AP51,2)</f>
        <v>8.7799999999999994</v>
      </c>
      <c r="AR51" s="211">
        <v>23.7</v>
      </c>
      <c r="AS51" s="212">
        <v>29.1</v>
      </c>
      <c r="AT51" s="203">
        <f>ROUND((AS51-AR51)/(AS42-AR42),4)</f>
        <v>1.0800000000000001E-2</v>
      </c>
      <c r="AU51" s="217">
        <f>ROUND(AR51-AR42*AT51,2)</f>
        <v>9.66</v>
      </c>
    </row>
    <row r="52" spans="1:47">
      <c r="D52" s="133">
        <v>11</v>
      </c>
      <c r="E52" s="133">
        <v>10</v>
      </c>
      <c r="F52" s="203">
        <f>INDEX($R43:$AU57,$D52,1+VLOOKUP($B43,$B$351:$E$368,4,FALSE))</f>
        <v>5.1999999999999998E-3</v>
      </c>
      <c r="G52" s="203">
        <f>INDEX($R43:$AU57,$D52,2+VLOOKUP($B43,$B$351:$E$368,4,FALSE))</f>
        <v>5.44</v>
      </c>
      <c r="H52" s="203">
        <f>INDEX($R43:$AU57,$D52,5+VLOOKUP($B43,$B$351:$E$368,4,FALSE))</f>
        <v>6.1999999999999998E-3</v>
      </c>
      <c r="I52" s="203">
        <f>INDEX($R43:$AU57,$D52,6+VLOOKUP($B43,$B$351:$E$368,4,FALSE))</f>
        <v>6.54</v>
      </c>
      <c r="J52" s="203">
        <f>INDEX($R43:$AU57,$D52,9+VLOOKUP($B43,$B$351:$E$368,4,FALSE))</f>
        <v>6.1999999999999998E-3</v>
      </c>
      <c r="K52" s="203">
        <f>INDEX($R43:$AU57,$D52,10+VLOOKUP($B43,$B$351:$E$368,4,FALSE))</f>
        <v>6.84</v>
      </c>
      <c r="L52" s="203">
        <f>INDEX($R43:$AU57,$D52,13+VLOOKUP($B43,$B$351:$E$368,4,FALSE))</f>
        <v>6.6E-3</v>
      </c>
      <c r="M52" s="203">
        <f>INDEX($R43:$AU57,$D52,14+VLOOKUP($B43,$B$351:$E$368,4,FALSE))</f>
        <v>7.32</v>
      </c>
      <c r="O52" s="215">
        <v>5</v>
      </c>
      <c r="P52" s="218">
        <v>13.3</v>
      </c>
      <c r="Q52" s="219">
        <v>16.2</v>
      </c>
      <c r="R52" s="203">
        <f>ROUND((Q52-P52)/(Q42-P42),4)</f>
        <v>5.7999999999999996E-3</v>
      </c>
      <c r="S52" s="217">
        <f>ROUND(P52-P42*R52,2)</f>
        <v>5.76</v>
      </c>
      <c r="T52" s="218">
        <v>15.7</v>
      </c>
      <c r="U52" s="219">
        <v>19.100000000000001</v>
      </c>
      <c r="V52" s="203">
        <f>ROUND((U52-T52)/(U42-T42),4)</f>
        <v>6.7999999999999996E-3</v>
      </c>
      <c r="W52" s="217">
        <f>ROUND(T52-T42*V52,2)</f>
        <v>6.86</v>
      </c>
      <c r="X52" s="218">
        <v>16</v>
      </c>
      <c r="Y52" s="219">
        <v>19.399999999999999</v>
      </c>
      <c r="Z52" s="203">
        <f>ROUND((Y52-X52)/(Y42-X42),4)</f>
        <v>6.7999999999999996E-3</v>
      </c>
      <c r="AA52" s="217">
        <f>ROUND(X52-X42*Z52,2)</f>
        <v>7.16</v>
      </c>
      <c r="AB52" s="218">
        <v>17</v>
      </c>
      <c r="AC52" s="219">
        <v>20.5</v>
      </c>
      <c r="AD52" s="203">
        <f>ROUND((AC52-AB52)/(AC42-AB42),4)</f>
        <v>7.0000000000000001E-3</v>
      </c>
      <c r="AE52" s="217">
        <f>ROUND(AB52-AB42*AD52,2)</f>
        <v>7.9</v>
      </c>
      <c r="AF52" s="211">
        <v>17.3</v>
      </c>
      <c r="AG52" s="212">
        <v>21.4</v>
      </c>
      <c r="AH52" s="203">
        <f>ROUND((AG52-AF52)/(AG42-AF42),4)</f>
        <v>8.2000000000000007E-3</v>
      </c>
      <c r="AI52" s="217">
        <f>ROUND(AF52-AF42*AH52,2)</f>
        <v>6.64</v>
      </c>
      <c r="AJ52" s="211">
        <v>20.399999999999999</v>
      </c>
      <c r="AK52" s="212">
        <v>25.2</v>
      </c>
      <c r="AL52" s="203">
        <f>ROUND((AK52-AJ52)/(AK42-AJ42),4)</f>
        <v>9.5999999999999992E-3</v>
      </c>
      <c r="AM52" s="217">
        <f>ROUND(AJ52-AJ42*AL52,2)</f>
        <v>7.92</v>
      </c>
      <c r="AN52" s="211">
        <v>20.8</v>
      </c>
      <c r="AO52" s="212">
        <v>25.7</v>
      </c>
      <c r="AP52" s="203">
        <f>ROUND((AO52-AN52)/(AO42-AN42),4)</f>
        <v>9.7999999999999997E-3</v>
      </c>
      <c r="AQ52" s="217">
        <f>ROUND(AN52-AN42*AP52,2)</f>
        <v>8.06</v>
      </c>
      <c r="AR52" s="211">
        <v>22.2</v>
      </c>
      <c r="AS52" s="212">
        <v>27.3</v>
      </c>
      <c r="AT52" s="203">
        <f>ROUND((AS52-AR52)/(AS42-AR42),4)</f>
        <v>1.0200000000000001E-2</v>
      </c>
      <c r="AU52" s="217">
        <f>ROUND(AR52-AR42*AT52,2)</f>
        <v>8.94</v>
      </c>
    </row>
    <row r="53" spans="1:47">
      <c r="A53" t="s">
        <v>256</v>
      </c>
      <c r="B53" s="163" t="e">
        <f>ROUND(B50/(4183*VLOOKUP(B44,B$345:E$348,4,FALSE))*3600,2)</f>
        <v>#REF!</v>
      </c>
      <c r="D53" s="133">
        <v>12</v>
      </c>
      <c r="E53" s="133">
        <v>15</v>
      </c>
      <c r="F53" s="203">
        <f>INDEX($R43:$AU57,$D53,1+VLOOKUP($B43,$B$351:$E$368,4,FALSE))</f>
        <v>4.5999999999999999E-3</v>
      </c>
      <c r="G53" s="203">
        <f>INDEX($R43:$AU57,$D53,2+VLOOKUP($B43,$B$351:$E$368,4,FALSE))</f>
        <v>5.12</v>
      </c>
      <c r="H53" s="203">
        <f>INDEX($R43:$AU57,$D53,5+VLOOKUP($B43,$B$351:$E$368,4,FALSE))</f>
        <v>5.7999999999999996E-3</v>
      </c>
      <c r="I53" s="203">
        <f>INDEX($R43:$AU57,$D53,6+VLOOKUP($B43,$B$351:$E$368,4,FALSE))</f>
        <v>5.86</v>
      </c>
      <c r="J53" s="203">
        <f>INDEX($R43:$AU57,$D53,9+VLOOKUP($B43,$B$351:$E$368,4,FALSE))</f>
        <v>5.7999999999999996E-3</v>
      </c>
      <c r="K53" s="203">
        <f>INDEX($R43:$AU57,$D53,10+VLOOKUP($B43,$B$351:$E$368,4,FALSE))</f>
        <v>6.26</v>
      </c>
      <c r="L53" s="203">
        <f>INDEX($R43:$AU57,$D53,13+VLOOKUP($B43,$B$351:$E$368,4,FALSE))</f>
        <v>6.1999999999999998E-3</v>
      </c>
      <c r="M53" s="203">
        <f>INDEX($R43:$AU57,$D53,14+VLOOKUP($B43,$B$351:$E$368,4,FALSE))</f>
        <v>6.64</v>
      </c>
      <c r="O53" s="215">
        <v>10</v>
      </c>
      <c r="P53" s="218">
        <v>12.2</v>
      </c>
      <c r="Q53" s="219">
        <v>14.8</v>
      </c>
      <c r="R53" s="203">
        <f>ROUND((Q53-P53)/(Q42-P42),4)</f>
        <v>5.1999999999999998E-3</v>
      </c>
      <c r="S53" s="217">
        <f>ROUND(P53-P42*R53,2)</f>
        <v>5.44</v>
      </c>
      <c r="T53" s="218">
        <v>14.6</v>
      </c>
      <c r="U53" s="219">
        <v>17.7</v>
      </c>
      <c r="V53" s="203">
        <f>ROUND((U53-T53)/(U42-T42),4)</f>
        <v>6.1999999999999998E-3</v>
      </c>
      <c r="W53" s="217">
        <f>ROUND(T53-T42*V53,2)</f>
        <v>6.54</v>
      </c>
      <c r="X53" s="218">
        <v>14.9</v>
      </c>
      <c r="Y53" s="219">
        <v>18</v>
      </c>
      <c r="Z53" s="203">
        <f>ROUND((Y53-X53)/(Y42-X42),4)</f>
        <v>6.1999999999999998E-3</v>
      </c>
      <c r="AA53" s="217">
        <f>ROUND(X53-X42*Z53,2)</f>
        <v>6.84</v>
      </c>
      <c r="AB53" s="218">
        <v>15.9</v>
      </c>
      <c r="AC53" s="219">
        <v>19.2</v>
      </c>
      <c r="AD53" s="203">
        <f>ROUND((AC53-AB53)/(AC42-AB42),4)</f>
        <v>6.6E-3</v>
      </c>
      <c r="AE53" s="217">
        <f>ROUND(AB53-AB42*AD53,2)</f>
        <v>7.32</v>
      </c>
      <c r="AF53" s="211">
        <v>15.9</v>
      </c>
      <c r="AG53" s="212">
        <v>19.600000000000001</v>
      </c>
      <c r="AH53" s="203">
        <f>ROUND((AG53-AF53)/(AG42-AF42),4)</f>
        <v>7.4000000000000003E-3</v>
      </c>
      <c r="AI53" s="217">
        <f>ROUND(AF53-AF42*AH53,2)</f>
        <v>6.28</v>
      </c>
      <c r="AJ53" s="211">
        <v>18.899999999999999</v>
      </c>
      <c r="AK53" s="212">
        <v>23.4</v>
      </c>
      <c r="AL53" s="203">
        <f>ROUND((AK53-AJ53)/(AK42-AJ42),4)</f>
        <v>8.9999999999999993E-3</v>
      </c>
      <c r="AM53" s="217">
        <f>ROUND(AJ53-AJ42*AL53,2)</f>
        <v>7.2</v>
      </c>
      <c r="AN53" s="211">
        <v>19.399999999999999</v>
      </c>
      <c r="AO53" s="212">
        <v>23.9</v>
      </c>
      <c r="AP53" s="203">
        <f>ROUND((AO53-AN53)/(AO42-AN42),4)</f>
        <v>8.9999999999999993E-3</v>
      </c>
      <c r="AQ53" s="217">
        <f>ROUND(AN53-AN42*AP53,2)</f>
        <v>7.7</v>
      </c>
      <c r="AR53" s="211">
        <v>20.8</v>
      </c>
      <c r="AS53" s="212">
        <v>25.4</v>
      </c>
      <c r="AT53" s="203">
        <f>ROUND((AS53-AR53)/(AS42-AR42),4)</f>
        <v>9.1999999999999998E-3</v>
      </c>
      <c r="AU53" s="217">
        <f>ROUND(AR53-AR42*AT53,2)</f>
        <v>8.84</v>
      </c>
    </row>
    <row r="54" spans="1:47">
      <c r="A54" t="s">
        <v>257</v>
      </c>
      <c r="B54" s="163" t="e">
        <f>ROUND(100*POWER(B53/VLOOKUP(B43,B$351:C$368,2,FALSE),2),1)</f>
        <v>#REF!</v>
      </c>
      <c r="D54" s="133">
        <v>13</v>
      </c>
      <c r="E54" s="133">
        <v>20</v>
      </c>
      <c r="F54" s="203">
        <f>INDEX($R43:$AU57,$D54,1+VLOOKUP($B43,$B$351:$E$368,4,FALSE))</f>
        <v>4.1999999999999997E-3</v>
      </c>
      <c r="G54" s="203">
        <f>INDEX($R43:$AU57,$D54,2+VLOOKUP($B43,$B$351:$E$368,4,FALSE))</f>
        <v>4.5199999999999996</v>
      </c>
      <c r="H54" s="203">
        <f>INDEX($R43:$AU57,$D54,5+VLOOKUP($B43,$B$351:$E$368,4,FALSE))</f>
        <v>5.3E-3</v>
      </c>
      <c r="I54" s="203">
        <f>INDEX($R43:$AU57,$D54,6+VLOOKUP($B43,$B$351:$E$368,4,FALSE))</f>
        <v>5.43</v>
      </c>
      <c r="J54" s="203">
        <f>INDEX($R43:$AU57,$D54,9+VLOOKUP($B43,$B$351:$E$368,4,FALSE))</f>
        <v>5.3E-3</v>
      </c>
      <c r="K54" s="203">
        <f>INDEX($R43:$AU57,$D54,10+VLOOKUP($B43,$B$351:$E$368,4,FALSE))</f>
        <v>5.78</v>
      </c>
      <c r="L54" s="203">
        <f>INDEX($R43:$AU57,$D54,13+VLOOKUP($B43,$B$351:$E$368,4,FALSE))</f>
        <v>5.5999999999999999E-3</v>
      </c>
      <c r="M54" s="203">
        <f>INDEX($R43:$AU57,$D54,14+VLOOKUP($B43,$B$351:$E$368,4,FALSE))</f>
        <v>6.35</v>
      </c>
      <c r="O54" s="215">
        <v>15</v>
      </c>
      <c r="P54" s="218">
        <v>11.1</v>
      </c>
      <c r="Q54" s="219">
        <v>13.4</v>
      </c>
      <c r="R54" s="203">
        <f>ROUND((Q54-P54)/(Q42-P42),4)</f>
        <v>4.5999999999999999E-3</v>
      </c>
      <c r="S54" s="217">
        <f>ROUND(P54-P42*R54,2)</f>
        <v>5.12</v>
      </c>
      <c r="T54" s="218">
        <v>13.4</v>
      </c>
      <c r="U54" s="219">
        <v>16.3</v>
      </c>
      <c r="V54" s="203">
        <f>ROUND((U54-T54)/(U42-T42),4)</f>
        <v>5.7999999999999996E-3</v>
      </c>
      <c r="W54" s="217">
        <f>ROUND(T54-T42*V54,2)</f>
        <v>5.86</v>
      </c>
      <c r="X54" s="218">
        <v>13.8</v>
      </c>
      <c r="Y54" s="219">
        <v>16.7</v>
      </c>
      <c r="Z54" s="203">
        <f>ROUND((Y54-X54)/(Y42-X42),4)</f>
        <v>5.7999999999999996E-3</v>
      </c>
      <c r="AA54" s="217">
        <f>ROUND(X54-X42*Z54,2)</f>
        <v>6.26</v>
      </c>
      <c r="AB54" s="218">
        <v>14.7</v>
      </c>
      <c r="AC54" s="219">
        <v>17.8</v>
      </c>
      <c r="AD54" s="203">
        <f>ROUND((AC54-AB54)/(AC42-AB42),4)</f>
        <v>6.1999999999999998E-3</v>
      </c>
      <c r="AE54" s="217">
        <f>ROUND(AB54-AB42*AD54,2)</f>
        <v>6.64</v>
      </c>
      <c r="AF54" s="211">
        <v>14.5</v>
      </c>
      <c r="AG54" s="212">
        <v>17.8</v>
      </c>
      <c r="AH54" s="203">
        <f>ROUND((AG54-AF54)/(AG42-AF42),4)</f>
        <v>6.6E-3</v>
      </c>
      <c r="AI54" s="217">
        <f>ROUND(AF54-AF42*AH54,2)</f>
        <v>5.92</v>
      </c>
      <c r="AJ54" s="211">
        <v>17.5</v>
      </c>
      <c r="AK54" s="212">
        <v>21.6</v>
      </c>
      <c r="AL54" s="203">
        <f>ROUND((AK54-AJ54)/(AK42-AJ42),4)</f>
        <v>8.2000000000000007E-3</v>
      </c>
      <c r="AM54" s="217">
        <f>ROUND(AJ54-AJ42*AL54,2)</f>
        <v>6.84</v>
      </c>
      <c r="AN54" s="211">
        <v>17.899999999999999</v>
      </c>
      <c r="AO54" s="212">
        <v>22.1</v>
      </c>
      <c r="AP54" s="203">
        <f>ROUND((AO54-AN54)/(AO42-AN42),4)</f>
        <v>8.3999999999999995E-3</v>
      </c>
      <c r="AQ54" s="217">
        <f>ROUND(AN54-AN42*AP54,2)</f>
        <v>6.98</v>
      </c>
      <c r="AR54" s="211">
        <v>19.3</v>
      </c>
      <c r="AS54" s="212">
        <v>23.6</v>
      </c>
      <c r="AT54" s="203">
        <f>ROUND((AS54-AR54)/(AS42-AR42),4)</f>
        <v>8.6E-3</v>
      </c>
      <c r="AU54" s="217">
        <f>ROUND(AR54-AR42*AT54,2)</f>
        <v>8.1199999999999992</v>
      </c>
    </row>
    <row r="55" spans="1:47">
      <c r="D55" s="133">
        <v>14</v>
      </c>
      <c r="E55" s="133">
        <v>25</v>
      </c>
      <c r="F55" s="203">
        <f>INDEX($R43:$AU57,$D55,1+VLOOKUP($B43,$B$351:$E$368,4,FALSE))</f>
        <v>3.7000000000000002E-3</v>
      </c>
      <c r="G55" s="203">
        <f>INDEX($R43:$AU57,$D55,2+VLOOKUP($B43,$B$351:$E$368,4,FALSE))</f>
        <v>4.0599999999999996</v>
      </c>
      <c r="H55" s="203">
        <f>INDEX($R43:$AU57,$D55,5+VLOOKUP($B43,$B$351:$E$368,4,FALSE))</f>
        <v>4.7999999999999996E-3</v>
      </c>
      <c r="I55" s="203">
        <f>INDEX($R43:$AU57,$D55,6+VLOOKUP($B43,$B$351:$E$368,4,FALSE))</f>
        <v>4.96</v>
      </c>
      <c r="J55" s="203">
        <f>INDEX($R43:$AU57,$D55,9+VLOOKUP($B43,$B$351:$E$368,4,FALSE))</f>
        <v>4.7000000000000002E-3</v>
      </c>
      <c r="K55" s="203">
        <f>INDEX($R43:$AU57,$D55,10+VLOOKUP($B43,$B$351:$E$368,4,FALSE))</f>
        <v>5.44</v>
      </c>
      <c r="L55" s="203">
        <f>INDEX($R43:$AU57,$D55,13+VLOOKUP($B43,$B$351:$E$368,4,FALSE))</f>
        <v>5.1000000000000004E-3</v>
      </c>
      <c r="M55" s="203">
        <f>INDEX($R43:$AU57,$D55,14+VLOOKUP($B43,$B$351:$E$368,4,FALSE))</f>
        <v>5.88</v>
      </c>
      <c r="O55" s="215">
        <v>20</v>
      </c>
      <c r="P55" s="218">
        <v>9.9800000000000395</v>
      </c>
      <c r="Q55" s="219">
        <v>12.06</v>
      </c>
      <c r="R55" s="203">
        <f>ROUND((Q55-P55)/(Q42-P42),4)</f>
        <v>4.1999999999999997E-3</v>
      </c>
      <c r="S55" s="217">
        <f>ROUND(P55-P42*R55,2)</f>
        <v>4.5199999999999996</v>
      </c>
      <c r="T55" s="218">
        <v>12.32</v>
      </c>
      <c r="U55" s="219">
        <v>14.96</v>
      </c>
      <c r="V55" s="203">
        <f>ROUND((U55-T55)/(U42-T42),4)</f>
        <v>5.3E-3</v>
      </c>
      <c r="W55" s="217">
        <f>ROUND(T55-T42*V55,2)</f>
        <v>5.43</v>
      </c>
      <c r="X55" s="218">
        <v>12.6666666666666</v>
      </c>
      <c r="Y55" s="219">
        <v>15.293333333333299</v>
      </c>
      <c r="Z55" s="203">
        <f>ROUND((Y55-X55)/(Y42-X42),4)</f>
        <v>5.3E-3</v>
      </c>
      <c r="AA55" s="217">
        <f>ROUND(X55-X42*Z55,2)</f>
        <v>5.78</v>
      </c>
      <c r="AB55" s="218">
        <v>13.626666666666701</v>
      </c>
      <c r="AC55" s="219">
        <v>16.413333333333298</v>
      </c>
      <c r="AD55" s="203">
        <f>ROUND((AC55-AB55)/(AC42-AB42),4)</f>
        <v>5.5999999999999999E-3</v>
      </c>
      <c r="AE55" s="217">
        <f>ROUND(AB55-AB42*AD55,2)</f>
        <v>6.35</v>
      </c>
      <c r="AF55" s="211">
        <v>13.033333333333299</v>
      </c>
      <c r="AG55" s="212">
        <v>16</v>
      </c>
      <c r="AH55" s="203">
        <f>ROUND((AG55-AF55)/(AG42-AF42),4)</f>
        <v>5.8999999999999999E-3</v>
      </c>
      <c r="AI55" s="217">
        <f>ROUND(AF55-AF42*AH55,2)</f>
        <v>5.36</v>
      </c>
      <c r="AJ55" s="211">
        <v>16.053333333333299</v>
      </c>
      <c r="AK55" s="212">
        <v>19.8</v>
      </c>
      <c r="AL55" s="203">
        <f>ROUND((AK55-AJ55)/(AK42-AJ42),4)</f>
        <v>7.4999999999999997E-3</v>
      </c>
      <c r="AM55" s="217">
        <f>ROUND(AJ55-AJ42*AL55,2)</f>
        <v>6.3</v>
      </c>
      <c r="AN55" s="211">
        <v>16.4866666666667</v>
      </c>
      <c r="AO55" s="212">
        <v>20.3</v>
      </c>
      <c r="AP55" s="203">
        <f>ROUND((AO55-AN55)/(AO42-AN42),4)</f>
        <v>7.6E-3</v>
      </c>
      <c r="AQ55" s="217">
        <f>ROUND(AN55-AN42*AP55,2)</f>
        <v>6.61</v>
      </c>
      <c r="AR55" s="211">
        <v>17.866666666666699</v>
      </c>
      <c r="AS55" s="212">
        <v>21.806666666666601</v>
      </c>
      <c r="AT55" s="203">
        <f>ROUND((AS55-AR55)/(AS42-AR42),4)</f>
        <v>7.9000000000000008E-3</v>
      </c>
      <c r="AU55" s="217">
        <f>ROUND(AR55-AR42*AT55,2)</f>
        <v>7.6</v>
      </c>
    </row>
    <row r="56" spans="1:47">
      <c r="D56" s="133">
        <v>15</v>
      </c>
      <c r="E56" s="133">
        <v>30</v>
      </c>
      <c r="F56" s="203">
        <f>INDEX($R43:$AU57,$D56,1+VLOOKUP($B43,$B$351:$E$368,4,FALSE))</f>
        <v>3.0999999999999999E-3</v>
      </c>
      <c r="G56" s="203">
        <f>INDEX($R43:$AU57,$D56,2+VLOOKUP($B43,$B$351:$E$368,4,FALSE))</f>
        <v>3.72</v>
      </c>
      <c r="H56" s="203">
        <f>INDEX($R43:$AU57,$D56,5+VLOOKUP($B43,$B$351:$E$368,4,FALSE))</f>
        <v>4.3E-3</v>
      </c>
      <c r="I56" s="203">
        <f>INDEX($R43:$AU57,$D56,6+VLOOKUP($B43,$B$351:$E$368,4,FALSE))</f>
        <v>4.49</v>
      </c>
      <c r="J56" s="203">
        <f>INDEX($R43:$AU57,$D56,9+VLOOKUP($B43,$B$351:$E$368,4,FALSE))</f>
        <v>4.1999999999999997E-3</v>
      </c>
      <c r="K56" s="203">
        <f>INDEX($R43:$AU57,$D56,10+VLOOKUP($B43,$B$351:$E$368,4,FALSE))</f>
        <v>4.9800000000000004</v>
      </c>
      <c r="L56" s="203">
        <f>INDEX($R43:$AU57,$D56,13+VLOOKUP($B43,$B$351:$E$368,4,FALSE))</f>
        <v>4.5999999999999999E-3</v>
      </c>
      <c r="M56" s="203">
        <f>INDEX($R43:$AU57,$D56,14+VLOOKUP($B43,$B$351:$E$368,4,FALSE))</f>
        <v>5.41</v>
      </c>
      <c r="O56" s="215">
        <v>25</v>
      </c>
      <c r="P56" s="218">
        <v>8.8654545454545399</v>
      </c>
      <c r="Q56" s="219">
        <v>10.6927272727273</v>
      </c>
      <c r="R56" s="203">
        <f>ROUND((Q56-P56)/(Q42-P42),4)</f>
        <v>3.7000000000000002E-3</v>
      </c>
      <c r="S56" s="217">
        <f>ROUND(P56-P42*R56,2)</f>
        <v>4.0599999999999996</v>
      </c>
      <c r="T56" s="218">
        <v>11.201818181818201</v>
      </c>
      <c r="U56" s="219">
        <v>13.5927272727273</v>
      </c>
      <c r="V56" s="203">
        <f>ROUND((U56-T56)/(U42-T42),4)</f>
        <v>4.7999999999999996E-3</v>
      </c>
      <c r="W56" s="217">
        <f>ROUND(T56-T42*V56,2)</f>
        <v>4.96</v>
      </c>
      <c r="X56" s="218">
        <v>11.551515151515099</v>
      </c>
      <c r="Y56" s="219">
        <v>13.9230303030303</v>
      </c>
      <c r="Z56" s="203">
        <f>ROUND((Y56-X56)/(Y42-X42),4)</f>
        <v>4.7000000000000002E-3</v>
      </c>
      <c r="AA56" s="217">
        <f>ROUND(X56-X42*Z56,2)</f>
        <v>5.44</v>
      </c>
      <c r="AB56" s="218">
        <v>12.506060606060601</v>
      </c>
      <c r="AC56" s="219">
        <v>15.0375757575758</v>
      </c>
      <c r="AD56" s="203">
        <f>ROUND((AC56-AB56)/(AC42-AB42),4)</f>
        <v>5.1000000000000004E-3</v>
      </c>
      <c r="AE56" s="217">
        <f>ROUND(AB56-AB42*AD56,2)</f>
        <v>5.88</v>
      </c>
      <c r="AF56" s="211">
        <v>11.595757575757601</v>
      </c>
      <c r="AG56" s="212">
        <v>14.2</v>
      </c>
      <c r="AH56" s="203">
        <f>ROUND((AG56-AF56)/(AG42-AF42),4)</f>
        <v>5.1999999999999998E-3</v>
      </c>
      <c r="AI56" s="217">
        <f>ROUND(AF56-AF42*AH56,2)</f>
        <v>4.84</v>
      </c>
      <c r="AJ56" s="211">
        <v>14.6157575757576</v>
      </c>
      <c r="AK56" s="212">
        <v>18</v>
      </c>
      <c r="AL56" s="203">
        <f>ROUND((AK56-AJ56)/(AK42-AJ42),4)</f>
        <v>6.7999999999999996E-3</v>
      </c>
      <c r="AM56" s="217">
        <f>ROUND(AJ56-AJ42*AL56,2)</f>
        <v>5.78</v>
      </c>
      <c r="AN56" s="211">
        <v>15.0442424242424</v>
      </c>
      <c r="AO56" s="212">
        <v>18.5</v>
      </c>
      <c r="AP56" s="203">
        <f>ROUND((AO56-AN56)/(AO42-AN42),4)</f>
        <v>6.8999999999999999E-3</v>
      </c>
      <c r="AQ56" s="217">
        <f>ROUND(AN56-AN42*AP56,2)</f>
        <v>6.07</v>
      </c>
      <c r="AR56" s="211">
        <v>16.4151515151515</v>
      </c>
      <c r="AS56" s="212">
        <v>19.991515151515099</v>
      </c>
      <c r="AT56" s="203">
        <f>ROUND((AS56-AR56)/(AS42-AR42),4)</f>
        <v>7.1999999999999998E-3</v>
      </c>
      <c r="AU56" s="217">
        <f>ROUND(AR56-AR42*AT56,2)</f>
        <v>7.06</v>
      </c>
    </row>
    <row r="57" spans="1:47" ht="15" thickBot="1">
      <c r="O57" s="216">
        <v>30</v>
      </c>
      <c r="P57" s="230">
        <v>7.7509090909091398</v>
      </c>
      <c r="Q57" s="231">
        <v>9.3254545454545692</v>
      </c>
      <c r="R57" s="228">
        <f>ROUND((Q57-P57)/(Q42-P42),4)</f>
        <v>3.0999999999999999E-3</v>
      </c>
      <c r="S57" s="229">
        <f>ROUND(P57-P42*R57,2)</f>
        <v>3.72</v>
      </c>
      <c r="T57" s="230">
        <v>10.083636363636399</v>
      </c>
      <c r="U57" s="231">
        <v>12.2254545454546</v>
      </c>
      <c r="V57" s="228">
        <f>ROUND((U57-T57)/(U42-T42),4)</f>
        <v>4.3E-3</v>
      </c>
      <c r="W57" s="229">
        <f>ROUND(T57-T42*V57,2)</f>
        <v>4.49</v>
      </c>
      <c r="X57" s="230">
        <v>10.4363636363636</v>
      </c>
      <c r="Y57" s="231">
        <v>12.5527272727272</v>
      </c>
      <c r="Z57" s="228">
        <f>ROUND((Y57-X57)/(Y42-X42),4)</f>
        <v>4.1999999999999997E-3</v>
      </c>
      <c r="AA57" s="229">
        <f>ROUND(X57-X42*Z57,2)</f>
        <v>4.9800000000000004</v>
      </c>
      <c r="AB57" s="230">
        <v>11.3854545454546</v>
      </c>
      <c r="AC57" s="231">
        <v>13.6618181818182</v>
      </c>
      <c r="AD57" s="228">
        <f>ROUND((AC57-AB57)/(AC42-AB42),4)</f>
        <v>4.5999999999999999E-3</v>
      </c>
      <c r="AE57" s="229">
        <f>ROUND(AB57-AB42*AD57,2)</f>
        <v>5.41</v>
      </c>
      <c r="AF57" s="226">
        <v>10.1581818181818</v>
      </c>
      <c r="AG57" s="227">
        <v>12.4</v>
      </c>
      <c r="AH57" s="228">
        <f>ROUND((AG57-AF57)/(AG42-AF42),4)</f>
        <v>4.4999999999999997E-3</v>
      </c>
      <c r="AI57" s="229">
        <f>ROUND(AF57-AF42*AH57,2)</f>
        <v>4.3099999999999996</v>
      </c>
      <c r="AJ57" s="226">
        <v>13.1781818181818</v>
      </c>
      <c r="AK57" s="227">
        <v>16.2</v>
      </c>
      <c r="AL57" s="228">
        <f>ROUND((AK57-AJ57)/(AK42-AJ42),4)</f>
        <v>6.0000000000000001E-3</v>
      </c>
      <c r="AM57" s="229">
        <f>ROUND(AJ57-AJ42*AL57,2)</f>
        <v>5.38</v>
      </c>
      <c r="AN57" s="226">
        <v>13.601818181818199</v>
      </c>
      <c r="AO57" s="227">
        <v>16.7</v>
      </c>
      <c r="AP57" s="228">
        <f>ROUND((AO57-AN57)/(AO42-AN42),4)</f>
        <v>6.1999999999999998E-3</v>
      </c>
      <c r="AQ57" s="229">
        <f>ROUND(AN57-AN42*AP57,2)</f>
        <v>5.54</v>
      </c>
      <c r="AR57" s="226">
        <v>14.9636363636364</v>
      </c>
      <c r="AS57" s="227">
        <v>18.1763636363636</v>
      </c>
      <c r="AT57" s="228">
        <f>ROUND((AS57-AR57)/(AS42-AR42),4)</f>
        <v>6.4000000000000003E-3</v>
      </c>
      <c r="AU57" s="229">
        <f>ROUND(AR57-AR42*AT57,2)</f>
        <v>6.64</v>
      </c>
    </row>
    <row r="58" spans="1:47" ht="15" thickBot="1">
      <c r="O58" s="224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5"/>
      <c r="AI58" s="225"/>
      <c r="AJ58" s="225"/>
      <c r="AK58" s="225"/>
      <c r="AL58" s="225"/>
      <c r="AM58" s="225"/>
      <c r="AN58" s="225"/>
      <c r="AO58" s="225"/>
      <c r="AP58" s="225"/>
      <c r="AQ58" s="225"/>
      <c r="AR58" s="225"/>
      <c r="AS58" s="225"/>
      <c r="AT58" s="225"/>
      <c r="AU58" s="225"/>
    </row>
    <row r="59" spans="1:47" ht="15" thickBot="1">
      <c r="E59" s="163"/>
      <c r="F59" s="596" t="s">
        <v>244</v>
      </c>
      <c r="G59" s="597"/>
      <c r="H59" s="597" t="s">
        <v>245</v>
      </c>
      <c r="I59" s="597"/>
      <c r="J59" s="597" t="s">
        <v>246</v>
      </c>
      <c r="K59" s="597"/>
      <c r="L59" s="597" t="s">
        <v>247</v>
      </c>
      <c r="M59" s="598"/>
      <c r="O59" s="204" t="s">
        <v>258</v>
      </c>
      <c r="P59" s="590" t="s">
        <v>284</v>
      </c>
      <c r="Q59" s="591"/>
      <c r="R59" s="591"/>
      <c r="S59" s="591"/>
      <c r="T59" s="591"/>
      <c r="U59" s="591"/>
      <c r="V59" s="591"/>
      <c r="W59" s="591"/>
      <c r="X59" s="591"/>
      <c r="Y59" s="591"/>
      <c r="Z59" s="591"/>
      <c r="AA59" s="591"/>
      <c r="AB59" s="591"/>
      <c r="AC59" s="591"/>
      <c r="AD59" s="591"/>
      <c r="AE59" s="592"/>
      <c r="AF59" s="590" t="s">
        <v>285</v>
      </c>
      <c r="AG59" s="591"/>
      <c r="AH59" s="591"/>
      <c r="AI59" s="591"/>
      <c r="AJ59" s="591"/>
      <c r="AK59" s="591"/>
      <c r="AL59" s="591"/>
      <c r="AM59" s="591"/>
      <c r="AN59" s="591"/>
      <c r="AO59" s="591"/>
      <c r="AP59" s="591"/>
      <c r="AQ59" s="591"/>
      <c r="AR59" s="591"/>
      <c r="AS59" s="591"/>
      <c r="AT59" s="591"/>
      <c r="AU59" s="592"/>
    </row>
    <row r="60" spans="1:47" ht="15" thickBot="1">
      <c r="E60" s="163"/>
      <c r="F60" s="221" t="s">
        <v>66</v>
      </c>
      <c r="G60" s="222" t="s">
        <v>249</v>
      </c>
      <c r="H60" s="222" t="s">
        <v>66</v>
      </c>
      <c r="I60" s="222" t="s">
        <v>249</v>
      </c>
      <c r="J60" s="222" t="s">
        <v>66</v>
      </c>
      <c r="K60" s="222" t="s">
        <v>249</v>
      </c>
      <c r="L60" s="222" t="s">
        <v>66</v>
      </c>
      <c r="M60" s="223" t="s">
        <v>249</v>
      </c>
      <c r="O60" s="205" t="s">
        <v>251</v>
      </c>
      <c r="P60" s="593" t="s">
        <v>276</v>
      </c>
      <c r="Q60" s="594"/>
      <c r="R60" s="594"/>
      <c r="S60" s="595"/>
      <c r="T60" s="593" t="s">
        <v>277</v>
      </c>
      <c r="U60" s="594"/>
      <c r="V60" s="594"/>
      <c r="W60" s="595"/>
      <c r="X60" s="593" t="s">
        <v>278</v>
      </c>
      <c r="Y60" s="594"/>
      <c r="Z60" s="594"/>
      <c r="AA60" s="595"/>
      <c r="AB60" s="593" t="s">
        <v>279</v>
      </c>
      <c r="AC60" s="594"/>
      <c r="AD60" s="594"/>
      <c r="AE60" s="595"/>
      <c r="AF60" s="593" t="s">
        <v>276</v>
      </c>
      <c r="AG60" s="594"/>
      <c r="AH60" s="594"/>
      <c r="AI60" s="595"/>
      <c r="AJ60" s="593" t="s">
        <v>277</v>
      </c>
      <c r="AK60" s="594"/>
      <c r="AL60" s="594"/>
      <c r="AM60" s="595"/>
      <c r="AN60" s="593" t="s">
        <v>278</v>
      </c>
      <c r="AO60" s="594"/>
      <c r="AP60" s="594"/>
      <c r="AQ60" s="595"/>
      <c r="AR60" s="593" t="s">
        <v>279</v>
      </c>
      <c r="AS60" s="594"/>
      <c r="AT60" s="594"/>
      <c r="AU60" s="595"/>
    </row>
    <row r="61" spans="1:47" ht="15" thickBot="1">
      <c r="A61" t="s">
        <v>248</v>
      </c>
      <c r="B61" s="163" t="e">
        <f>Задача_Расход</f>
        <v>#REF!</v>
      </c>
      <c r="D61" s="133">
        <v>1</v>
      </c>
      <c r="E61" s="133">
        <v>-40</v>
      </c>
      <c r="F61" s="220">
        <f>INDEX($R62:$AU76,$D61,1+VLOOKUP($B62,$B$351:$E$368,4,FALSE))</f>
        <v>1.46E-2</v>
      </c>
      <c r="G61" s="220">
        <f>INDEX($R62:$AU76,$D61,2+VLOOKUP($B62,$B$351:$E$368,4,FALSE))</f>
        <v>11.3</v>
      </c>
      <c r="H61" s="220">
        <f>INDEX($R62:$AU76,$D61,5+VLOOKUP($B62,$B$351:$E$368,4,FALSE))</f>
        <v>1.6199999999999999E-2</v>
      </c>
      <c r="I61" s="220">
        <f>INDEX($R62:$AU76,$D61,6+VLOOKUP($B62,$B$351:$E$368,4,FALSE))</f>
        <v>12.24</v>
      </c>
      <c r="J61" s="220">
        <f>INDEX($R62:$AU76,$D61,9+VLOOKUP($B62,$B$351:$E$368,4,FALSE))</f>
        <v>1.6199999999999999E-2</v>
      </c>
      <c r="K61" s="220">
        <f>INDEX($R62:$AU76,$D61,10+VLOOKUP($B62,$B$351:$E$368,4,FALSE))</f>
        <v>12.74</v>
      </c>
      <c r="L61" s="220">
        <f>INDEX($R62:$AU76,$D61,13+VLOOKUP($B62,$B$351:$E$368,4,FALSE))</f>
        <v>1.66E-2</v>
      </c>
      <c r="M61" s="220">
        <f>INDEX($R62:$AU76,$D61,14+VLOOKUP($B62,$B$351:$E$368,4,FALSE))</f>
        <v>13.7</v>
      </c>
      <c r="O61" s="206" t="s">
        <v>248</v>
      </c>
      <c r="P61" s="207">
        <v>1300</v>
      </c>
      <c r="Q61" s="208">
        <v>1800</v>
      </c>
      <c r="R61" s="208"/>
      <c r="S61" s="209"/>
      <c r="T61" s="207">
        <v>1300</v>
      </c>
      <c r="U61" s="208">
        <v>1800</v>
      </c>
      <c r="V61" s="208"/>
      <c r="W61" s="209"/>
      <c r="X61" s="207">
        <v>1300</v>
      </c>
      <c r="Y61" s="208">
        <v>1800</v>
      </c>
      <c r="Z61" s="208"/>
      <c r="AA61" s="209"/>
      <c r="AB61" s="207">
        <v>1300</v>
      </c>
      <c r="AC61" s="208">
        <v>1800</v>
      </c>
      <c r="AD61" s="208"/>
      <c r="AE61" s="209"/>
      <c r="AF61" s="207">
        <v>1300</v>
      </c>
      <c r="AG61" s="208">
        <v>1800</v>
      </c>
      <c r="AH61" s="208"/>
      <c r="AI61" s="209"/>
      <c r="AJ61" s="207">
        <v>1300</v>
      </c>
      <c r="AK61" s="208">
        <v>1800</v>
      </c>
      <c r="AL61" s="208"/>
      <c r="AM61" s="209"/>
      <c r="AN61" s="207">
        <v>1300</v>
      </c>
      <c r="AO61" s="208">
        <v>1800</v>
      </c>
      <c r="AP61" s="208"/>
      <c r="AQ61" s="209"/>
      <c r="AR61" s="207">
        <v>1300</v>
      </c>
      <c r="AS61" s="208">
        <v>1800</v>
      </c>
      <c r="AT61" s="208"/>
      <c r="AU61" s="209"/>
    </row>
    <row r="62" spans="1:47">
      <c r="A62" t="s">
        <v>250</v>
      </c>
      <c r="B62" s="163" t="s">
        <v>262</v>
      </c>
      <c r="D62" s="133">
        <v>2</v>
      </c>
      <c r="E62" s="133">
        <v>-35</v>
      </c>
      <c r="F62" s="203">
        <f>INDEX($R62:$AU76,$D62,1+VLOOKUP($B62,$B$351:$E$368,4,FALSE))</f>
        <v>1.3899999999999999E-2</v>
      </c>
      <c r="G62" s="203">
        <f>INDEX($R62:$AU76,$D62,2+VLOOKUP($B62,$B$351:$E$368,4,FALSE))</f>
        <v>10.78</v>
      </c>
      <c r="H62" s="203">
        <f>INDEX($R62:$AU76,$D62,5+VLOOKUP($B62,$B$351:$E$368,4,FALSE))</f>
        <v>1.55E-2</v>
      </c>
      <c r="I62" s="203">
        <f>INDEX($R62:$AU76,$D62,6+VLOOKUP($B62,$B$351:$E$368,4,FALSE))</f>
        <v>11.72</v>
      </c>
      <c r="J62" s="203">
        <f>INDEX($R62:$AU76,$D62,9+VLOOKUP($B62,$B$351:$E$368,4,FALSE))</f>
        <v>1.55E-2</v>
      </c>
      <c r="K62" s="203">
        <f>INDEX($R62:$AU76,$D62,10+VLOOKUP($B62,$B$351:$E$368,4,FALSE))</f>
        <v>12.2</v>
      </c>
      <c r="L62" s="203">
        <f>INDEX($R62:$AU76,$D62,13+VLOOKUP($B62,$B$351:$E$368,4,FALSE))</f>
        <v>1.5900000000000001E-2</v>
      </c>
      <c r="M62" s="203">
        <f>INDEX($R62:$AU76,$D62,14+VLOOKUP($B62,$B$351:$E$368,4,FALSE))</f>
        <v>13.16</v>
      </c>
      <c r="O62" s="210">
        <v>-40</v>
      </c>
      <c r="P62" s="218">
        <v>23.354545454545502</v>
      </c>
      <c r="Q62" s="219">
        <v>28.4672727272727</v>
      </c>
      <c r="R62" s="203">
        <f>ROUND((Q62-P62)/(Q61-P61),4)</f>
        <v>1.0200000000000001E-2</v>
      </c>
      <c r="S62" s="217">
        <f>ROUND(P62-P61*R62,2)</f>
        <v>10.09</v>
      </c>
      <c r="T62" s="218">
        <v>25.738181818181801</v>
      </c>
      <c r="U62" s="219">
        <v>31.367272727272699</v>
      </c>
      <c r="V62" s="203">
        <f>ROUND((U62-T62)/(U61-T61),4)</f>
        <v>1.1299999999999999E-2</v>
      </c>
      <c r="W62" s="217">
        <f>ROUND(T62-T61*V62,2)</f>
        <v>11.05</v>
      </c>
      <c r="X62" s="218">
        <v>26.0484848484849</v>
      </c>
      <c r="Y62" s="219">
        <v>31.736969696969702</v>
      </c>
      <c r="Z62" s="203">
        <f>ROUND((Y62-X62)/(Y61-X61),4)</f>
        <v>1.14E-2</v>
      </c>
      <c r="AA62" s="217">
        <f>ROUND(X62-X61*Z62,2)</f>
        <v>11.23</v>
      </c>
      <c r="AB62" s="218">
        <v>27.073939393939401</v>
      </c>
      <c r="AC62" s="219">
        <v>32.922424242424199</v>
      </c>
      <c r="AD62" s="203">
        <f>ROUND((AC62-AB62)/(AC61-AB61),4)</f>
        <v>1.17E-2</v>
      </c>
      <c r="AE62" s="217">
        <f>ROUND(AB62-AB61*AD62,2)</f>
        <v>11.86</v>
      </c>
      <c r="AF62" s="211">
        <v>30.2842424242424</v>
      </c>
      <c r="AG62" s="212">
        <v>37.6</v>
      </c>
      <c r="AH62" s="203">
        <f>ROUND((AG62-AF62)/(AG61-AF61),4)</f>
        <v>1.46E-2</v>
      </c>
      <c r="AI62" s="217">
        <f>ROUND(AF62-AF61*AH62,2)</f>
        <v>11.3</v>
      </c>
      <c r="AJ62" s="211">
        <v>33.304242424242403</v>
      </c>
      <c r="AK62" s="212">
        <v>41.4</v>
      </c>
      <c r="AL62" s="203">
        <f>ROUND((AK62-AJ62)/(AK61-AJ61),4)</f>
        <v>1.6199999999999999E-2</v>
      </c>
      <c r="AM62" s="217">
        <f>ROUND(AJ62-AJ61*AL62,2)</f>
        <v>12.24</v>
      </c>
      <c r="AN62" s="211">
        <v>33.795757575757598</v>
      </c>
      <c r="AO62" s="212">
        <v>41.9</v>
      </c>
      <c r="AP62" s="203">
        <f>ROUND((AO62-AN62)/(AO61-AN61),4)</f>
        <v>1.6199999999999999E-2</v>
      </c>
      <c r="AQ62" s="217">
        <f>ROUND(AN62-AN61*AP62,2)</f>
        <v>12.74</v>
      </c>
      <c r="AR62" s="211">
        <v>35.284848484848503</v>
      </c>
      <c r="AS62" s="212">
        <v>43.588484848484903</v>
      </c>
      <c r="AT62" s="203">
        <f>ROUND((AS62-AR62)/(AS61-AR61),4)</f>
        <v>1.66E-2</v>
      </c>
      <c r="AU62" s="217">
        <f>ROUND(AR62-AR61*AT62,2)</f>
        <v>13.7</v>
      </c>
    </row>
    <row r="63" spans="1:47">
      <c r="A63" t="s">
        <v>251</v>
      </c>
      <c r="B63" s="163" t="e">
        <f>Задача_НагревательТеплоноситель</f>
        <v>#REF!</v>
      </c>
      <c r="D63" s="133">
        <v>3</v>
      </c>
      <c r="E63" s="133">
        <v>-30</v>
      </c>
      <c r="F63" s="203">
        <f>INDEX($R62:$AU76,$D63,1+VLOOKUP($B62,$B$351:$E$368,4,FALSE))</f>
        <v>1.32E-2</v>
      </c>
      <c r="G63" s="203">
        <f>INDEX($R62:$AU76,$D63,2+VLOOKUP($B62,$B$351:$E$368,4,FALSE))</f>
        <v>10.24</v>
      </c>
      <c r="H63" s="203">
        <f>INDEX($R62:$AU76,$D63,5+VLOOKUP($B62,$B$351:$E$368,4,FALSE))</f>
        <v>1.4800000000000001E-2</v>
      </c>
      <c r="I63" s="203">
        <f>INDEX($R62:$AU76,$D63,6+VLOOKUP($B62,$B$351:$E$368,4,FALSE))</f>
        <v>11.16</v>
      </c>
      <c r="J63" s="203">
        <f>INDEX($R62:$AU76,$D63,9+VLOOKUP($B62,$B$351:$E$368,4,FALSE))</f>
        <v>1.4800000000000001E-2</v>
      </c>
      <c r="K63" s="203">
        <f>INDEX($R62:$AU76,$D63,10+VLOOKUP($B62,$B$351:$E$368,4,FALSE))</f>
        <v>11.66</v>
      </c>
      <c r="L63" s="203">
        <f>INDEX($R62:$AU76,$D63,13+VLOOKUP($B62,$B$351:$E$368,4,FALSE))</f>
        <v>1.52E-2</v>
      </c>
      <c r="M63" s="203">
        <f>INDEX($R62:$AU76,$D63,14+VLOOKUP($B62,$B$351:$E$368,4,FALSE))</f>
        <v>12.64</v>
      </c>
      <c r="O63" s="215">
        <v>-35</v>
      </c>
      <c r="P63" s="218">
        <v>22.24</v>
      </c>
      <c r="Q63" s="219">
        <v>27.1</v>
      </c>
      <c r="R63" s="203">
        <f>ROUND((Q63-P63)/(Q61-P61),4)</f>
        <v>9.7000000000000003E-3</v>
      </c>
      <c r="S63" s="217">
        <f>ROUND(P63-P61*R63,2)</f>
        <v>9.6300000000000008</v>
      </c>
      <c r="T63" s="218">
        <v>24.62</v>
      </c>
      <c r="U63" s="219">
        <v>30</v>
      </c>
      <c r="V63" s="203">
        <f>ROUND((U63-T63)/(U61-T61),4)</f>
        <v>1.0800000000000001E-2</v>
      </c>
      <c r="W63" s="217">
        <f>ROUND(T63-T61*V63,2)</f>
        <v>10.58</v>
      </c>
      <c r="X63" s="218">
        <v>24.933333333333401</v>
      </c>
      <c r="Y63" s="219">
        <v>30.366666666666699</v>
      </c>
      <c r="Z63" s="203">
        <f>ROUND((Y63-X63)/(Y61-X61),4)</f>
        <v>1.09E-2</v>
      </c>
      <c r="AA63" s="217">
        <f>ROUND(X63-X61*Z63,2)</f>
        <v>10.76</v>
      </c>
      <c r="AB63" s="218">
        <v>25.953333333333301</v>
      </c>
      <c r="AC63" s="219">
        <v>31.546666666666699</v>
      </c>
      <c r="AD63" s="203">
        <f>ROUND((AC63-AB63)/(AC61-AB61),4)</f>
        <v>1.12E-2</v>
      </c>
      <c r="AE63" s="217">
        <f>ROUND(AB63-AB61*AD63,2)</f>
        <v>11.39</v>
      </c>
      <c r="AF63" s="211">
        <v>28.8466666666667</v>
      </c>
      <c r="AG63" s="212">
        <v>35.799999999999997</v>
      </c>
      <c r="AH63" s="203">
        <f>ROUND((AG63-AF63)/(AG61-AF61),4)</f>
        <v>1.3899999999999999E-2</v>
      </c>
      <c r="AI63" s="217">
        <f>ROUND(AF63-AF61*AH63,2)</f>
        <v>10.78</v>
      </c>
      <c r="AJ63" s="211">
        <v>31.866666666666699</v>
      </c>
      <c r="AK63" s="212">
        <v>39.6</v>
      </c>
      <c r="AL63" s="203">
        <f>ROUND((AK63-AJ63)/(AK61-AJ61),4)</f>
        <v>1.55E-2</v>
      </c>
      <c r="AM63" s="217">
        <f>ROUND(AJ63-AJ61*AL63,2)</f>
        <v>11.72</v>
      </c>
      <c r="AN63" s="211">
        <v>32.353333333333303</v>
      </c>
      <c r="AO63" s="212">
        <v>40.1</v>
      </c>
      <c r="AP63" s="203">
        <f>ROUND((AO63-AN63)/(AO61-AN61),4)</f>
        <v>1.55E-2</v>
      </c>
      <c r="AQ63" s="217">
        <f>ROUND(AN63-AN61*AP63,2)</f>
        <v>12.2</v>
      </c>
      <c r="AR63" s="211">
        <v>33.8333333333333</v>
      </c>
      <c r="AS63" s="212">
        <v>41.773333333333397</v>
      </c>
      <c r="AT63" s="203">
        <f>ROUND((AS63-AR63)/(AS61-AR61),4)</f>
        <v>1.5900000000000001E-2</v>
      </c>
      <c r="AU63" s="217">
        <f>ROUND(AR63-AR61*AT63,2)</f>
        <v>13.16</v>
      </c>
    </row>
    <row r="64" spans="1:47">
      <c r="A64" t="s">
        <v>253</v>
      </c>
      <c r="B64" s="163" t="e">
        <f>VLOOKUP("500x250",ПП_Расчет!C$10:F$19,4,0)</f>
        <v>#REF!</v>
      </c>
      <c r="D64" s="133">
        <v>4</v>
      </c>
      <c r="E64" s="133">
        <v>-25</v>
      </c>
      <c r="F64" s="203">
        <f>INDEX($R62:$AU76,$D64,1+VLOOKUP($B62,$B$351:$E$368,4,FALSE))</f>
        <v>1.24E-2</v>
      </c>
      <c r="G64" s="203">
        <f>INDEX($R62:$AU76,$D64,2+VLOOKUP($B62,$B$351:$E$368,4,FALSE))</f>
        <v>9.8800000000000008</v>
      </c>
      <c r="H64" s="203">
        <f>INDEX($R62:$AU76,$D64,5+VLOOKUP($B62,$B$351:$E$368,4,FALSE))</f>
        <v>1.4E-2</v>
      </c>
      <c r="I64" s="203">
        <f>INDEX($R62:$AU76,$D64,6+VLOOKUP($B62,$B$351:$E$368,4,FALSE))</f>
        <v>10.8</v>
      </c>
      <c r="J64" s="203">
        <f>INDEX($R62:$AU76,$D64,9+VLOOKUP($B62,$B$351:$E$368,4,FALSE))</f>
        <v>1.4E-2</v>
      </c>
      <c r="K64" s="203">
        <f>INDEX($R62:$AU76,$D64,10+VLOOKUP($B62,$B$351:$E$368,4,FALSE))</f>
        <v>11.3</v>
      </c>
      <c r="L64" s="203">
        <f>INDEX($R62:$AU76,$D64,13+VLOOKUP($B62,$B$351:$E$368,4,FALSE))</f>
        <v>1.44E-2</v>
      </c>
      <c r="M64" s="203">
        <f>INDEX($R62:$AU76,$D64,14+VLOOKUP($B62,$B$351:$E$368,4,FALSE))</f>
        <v>12.18</v>
      </c>
      <c r="O64" s="215">
        <v>-30</v>
      </c>
      <c r="P64" s="218">
        <v>21.1</v>
      </c>
      <c r="Q64" s="219">
        <v>25.7</v>
      </c>
      <c r="R64" s="203">
        <f>ROUND((Q64-P64)/(Q61-P61),4)</f>
        <v>9.1999999999999998E-3</v>
      </c>
      <c r="S64" s="217">
        <f>ROUND(P64-P61*R64,2)</f>
        <v>9.14</v>
      </c>
      <c r="T64" s="218">
        <v>23.5</v>
      </c>
      <c r="U64" s="219">
        <v>28.6</v>
      </c>
      <c r="V64" s="203">
        <f>ROUND((U64-T64)/(U61-T61),4)</f>
        <v>1.0200000000000001E-2</v>
      </c>
      <c r="W64" s="217">
        <f>ROUND(T64-T61*V64,2)</f>
        <v>10.24</v>
      </c>
      <c r="X64" s="218">
        <v>23.8</v>
      </c>
      <c r="Y64" s="219">
        <v>29</v>
      </c>
      <c r="Z64" s="203">
        <f>ROUND((Y64-X64)/(Y61-X61),4)</f>
        <v>1.04E-2</v>
      </c>
      <c r="AA64" s="217">
        <f>ROUND(X64-X61*Z64,2)</f>
        <v>10.28</v>
      </c>
      <c r="AB64" s="218">
        <v>24.8</v>
      </c>
      <c r="AC64" s="219">
        <v>30.2</v>
      </c>
      <c r="AD64" s="203">
        <f>ROUND((AC64-AB64)/(AC61-AB61),4)</f>
        <v>1.0800000000000001E-2</v>
      </c>
      <c r="AE64" s="217">
        <f>ROUND(AB64-AB61*AD64,2)</f>
        <v>10.76</v>
      </c>
      <c r="AF64" s="211">
        <v>27.4</v>
      </c>
      <c r="AG64" s="212">
        <v>34</v>
      </c>
      <c r="AH64" s="203">
        <f>ROUND((AG64-AF64)/(AG61-AF61),4)</f>
        <v>1.32E-2</v>
      </c>
      <c r="AI64" s="217">
        <f>ROUND(AF64-AF61*AH64,2)</f>
        <v>10.24</v>
      </c>
      <c r="AJ64" s="211">
        <v>30.4</v>
      </c>
      <c r="AK64" s="212">
        <v>37.799999999999997</v>
      </c>
      <c r="AL64" s="203">
        <f>ROUND((AK64-AJ64)/(AK61-AJ61),4)</f>
        <v>1.4800000000000001E-2</v>
      </c>
      <c r="AM64" s="217">
        <f>ROUND(AJ64-AJ61*AL64,2)</f>
        <v>11.16</v>
      </c>
      <c r="AN64" s="211">
        <v>30.9</v>
      </c>
      <c r="AO64" s="212">
        <v>38.299999999999997</v>
      </c>
      <c r="AP64" s="203">
        <f>ROUND((AO64-AN64)/(AO61-AN61),4)</f>
        <v>1.4800000000000001E-2</v>
      </c>
      <c r="AQ64" s="217">
        <f>ROUND(AN64-AN61*AP64,2)</f>
        <v>11.66</v>
      </c>
      <c r="AR64" s="211">
        <v>32.4</v>
      </c>
      <c r="AS64" s="212">
        <v>40</v>
      </c>
      <c r="AT64" s="203">
        <f>ROUND((AS64-AR64)/(AS61-AR61),4)</f>
        <v>1.52E-2</v>
      </c>
      <c r="AU64" s="217">
        <f>ROUND(AR64-AR61*AT64,2)</f>
        <v>12.64</v>
      </c>
    </row>
    <row r="65" spans="1:47">
      <c r="D65" s="133">
        <v>5</v>
      </c>
      <c r="E65" s="133">
        <v>-20</v>
      </c>
      <c r="F65" s="203">
        <f>INDEX($R62:$AU76,$D65,1+VLOOKUP($B62,$B$351:$E$368,4,FALSE))</f>
        <v>1.18E-2</v>
      </c>
      <c r="G65" s="203">
        <f>INDEX($R62:$AU76,$D65,2+VLOOKUP($B62,$B$351:$E$368,4,FALSE))</f>
        <v>9.16</v>
      </c>
      <c r="H65" s="203">
        <f>INDEX($R62:$AU76,$D65,5+VLOOKUP($B62,$B$351:$E$368,4,FALSE))</f>
        <v>1.32E-2</v>
      </c>
      <c r="I65" s="203">
        <f>INDEX($R62:$AU76,$D65,6+VLOOKUP($B62,$B$351:$E$368,4,FALSE))</f>
        <v>10.44</v>
      </c>
      <c r="J65" s="203">
        <f>INDEX($R62:$AU76,$D65,9+VLOOKUP($B62,$B$351:$E$368,4,FALSE))</f>
        <v>1.34E-2</v>
      </c>
      <c r="K65" s="203">
        <f>INDEX($R62:$AU76,$D65,10+VLOOKUP($B62,$B$351:$E$368,4,FALSE))</f>
        <v>10.58</v>
      </c>
      <c r="L65" s="203">
        <f>INDEX($R62:$AU76,$D65,13+VLOOKUP($B62,$B$351:$E$368,4,FALSE))</f>
        <v>1.3599999999999999E-2</v>
      </c>
      <c r="M65" s="203">
        <f>INDEX($R62:$AU76,$D65,14+VLOOKUP($B62,$B$351:$E$368,4,FALSE))</f>
        <v>11.82</v>
      </c>
      <c r="O65" s="215">
        <v>-25</v>
      </c>
      <c r="P65" s="218">
        <v>20</v>
      </c>
      <c r="Q65" s="219">
        <v>24.4</v>
      </c>
      <c r="R65" s="203">
        <f>ROUND((Q65-P65)/(Q61-P61),4)</f>
        <v>8.8000000000000005E-3</v>
      </c>
      <c r="S65" s="217">
        <f>ROUND(P65-P61*R65,2)</f>
        <v>8.56</v>
      </c>
      <c r="T65" s="218">
        <v>22.4</v>
      </c>
      <c r="U65" s="219">
        <v>27.3</v>
      </c>
      <c r="V65" s="203">
        <f>ROUND((U65-T65)/(U61-T61),4)</f>
        <v>9.7999999999999997E-3</v>
      </c>
      <c r="W65" s="217">
        <f>ROUND(T65-T61*V65,2)</f>
        <v>9.66</v>
      </c>
      <c r="X65" s="218">
        <v>22.7</v>
      </c>
      <c r="Y65" s="219">
        <v>27.6</v>
      </c>
      <c r="Z65" s="203">
        <f>ROUND((Y65-X65)/(Y61-X61),4)</f>
        <v>9.7999999999999997E-3</v>
      </c>
      <c r="AA65" s="217">
        <f>ROUND(X65-X61*Z65,2)</f>
        <v>9.9600000000000009</v>
      </c>
      <c r="AB65" s="218">
        <v>23.7</v>
      </c>
      <c r="AC65" s="219">
        <v>28.8</v>
      </c>
      <c r="AD65" s="203">
        <f>ROUND((AC65-AB65)/(AC61-AB61),4)</f>
        <v>1.0200000000000001E-2</v>
      </c>
      <c r="AE65" s="217">
        <f>ROUND(AB65-AB61*AD65,2)</f>
        <v>10.44</v>
      </c>
      <c r="AF65" s="211">
        <v>26</v>
      </c>
      <c r="AG65" s="212">
        <v>32.200000000000003</v>
      </c>
      <c r="AH65" s="203">
        <f>ROUND((AG65-AF65)/(AG61-AF61),4)</f>
        <v>1.24E-2</v>
      </c>
      <c r="AI65" s="217">
        <f>ROUND(AF65-AF61*AH65,2)</f>
        <v>9.8800000000000008</v>
      </c>
      <c r="AJ65" s="211">
        <v>29</v>
      </c>
      <c r="AK65" s="212">
        <v>36</v>
      </c>
      <c r="AL65" s="203">
        <f>ROUND((AK65-AJ65)/(AK61-AJ61),4)</f>
        <v>1.4E-2</v>
      </c>
      <c r="AM65" s="217">
        <f>ROUND(AJ65-AJ61*AL65,2)</f>
        <v>10.8</v>
      </c>
      <c r="AN65" s="211">
        <v>29.5</v>
      </c>
      <c r="AO65" s="212">
        <v>36.5</v>
      </c>
      <c r="AP65" s="203">
        <f>ROUND((AO65-AN65)/(AO61-AN61),4)</f>
        <v>1.4E-2</v>
      </c>
      <c r="AQ65" s="217">
        <f>ROUND(AN65-AN61*AP65,2)</f>
        <v>11.3</v>
      </c>
      <c r="AR65" s="211">
        <v>30.9</v>
      </c>
      <c r="AS65" s="212">
        <v>38.1</v>
      </c>
      <c r="AT65" s="203">
        <f>ROUND((AS65-AR65)/(AS61-AR61),4)</f>
        <v>1.44E-2</v>
      </c>
      <c r="AU65" s="217">
        <f>ROUND(AR65-AR61*AT65,2)</f>
        <v>12.18</v>
      </c>
    </row>
    <row r="66" spans="1:47">
      <c r="A66" t="s">
        <v>66</v>
      </c>
      <c r="B66" s="163" t="e">
        <f>VLOOKUP(B64,E61:M75,VLOOKUP(B63,B$345:D$348,2,FALSE))</f>
        <v>#REF!</v>
      </c>
      <c r="D66" s="133">
        <v>6</v>
      </c>
      <c r="E66" s="133">
        <v>-15</v>
      </c>
      <c r="F66" s="203">
        <f>INDEX($R62:$AU76,$D66,1+VLOOKUP($B62,$B$351:$E$368,4,FALSE))</f>
        <v>1.0999999999999999E-2</v>
      </c>
      <c r="G66" s="203">
        <f>INDEX($R62:$AU76,$D66,2+VLOOKUP($B62,$B$351:$E$368,4,FALSE))</f>
        <v>8.8000000000000007</v>
      </c>
      <c r="H66" s="203">
        <f>INDEX($R62:$AU76,$D66,5+VLOOKUP($B62,$B$351:$E$368,4,FALSE))</f>
        <v>1.26E-2</v>
      </c>
      <c r="I66" s="203">
        <f>INDEX($R62:$AU76,$D66,6+VLOOKUP($B62,$B$351:$E$368,4,FALSE))</f>
        <v>9.7200000000000006</v>
      </c>
      <c r="J66" s="203">
        <f>INDEX($R62:$AU76,$D66,9+VLOOKUP($B62,$B$351:$E$368,4,FALSE))</f>
        <v>1.26E-2</v>
      </c>
      <c r="K66" s="203">
        <f>INDEX($R62:$AU76,$D66,10+VLOOKUP($B62,$B$351:$E$368,4,FALSE))</f>
        <v>10.220000000000001</v>
      </c>
      <c r="L66" s="203">
        <f>INDEX($R62:$AU76,$D66,13+VLOOKUP($B62,$B$351:$E$368,4,FALSE))</f>
        <v>1.2999999999999999E-2</v>
      </c>
      <c r="M66" s="203">
        <f>INDEX($R62:$AU76,$D66,14+VLOOKUP($B62,$B$351:$E$368,4,FALSE))</f>
        <v>11.1</v>
      </c>
      <c r="O66" s="215">
        <v>-20</v>
      </c>
      <c r="P66" s="218">
        <v>18.899999999999999</v>
      </c>
      <c r="Q66" s="219">
        <v>23</v>
      </c>
      <c r="R66" s="203">
        <f>ROUND((Q66-P66)/(Q61-P61),4)</f>
        <v>8.2000000000000007E-3</v>
      </c>
      <c r="S66" s="217">
        <f>ROUND(P66-P61*R66,2)</f>
        <v>8.24</v>
      </c>
      <c r="T66" s="218">
        <v>21.3</v>
      </c>
      <c r="U66" s="219">
        <v>25.9</v>
      </c>
      <c r="V66" s="203">
        <f>ROUND((U66-T66)/(U61-T61),4)</f>
        <v>9.1999999999999998E-3</v>
      </c>
      <c r="W66" s="217">
        <f>ROUND(T66-T61*V66,2)</f>
        <v>9.34</v>
      </c>
      <c r="X66" s="218">
        <v>21.6</v>
      </c>
      <c r="Y66" s="219">
        <v>26.3</v>
      </c>
      <c r="Z66" s="203">
        <f>ROUND((Y66-X66)/(Y61-X61),4)</f>
        <v>9.4000000000000004E-3</v>
      </c>
      <c r="AA66" s="217">
        <f>ROUND(X66-X61*Z66,2)</f>
        <v>9.3800000000000008</v>
      </c>
      <c r="AB66" s="218">
        <v>22.6</v>
      </c>
      <c r="AC66" s="219">
        <v>27.4</v>
      </c>
      <c r="AD66" s="203">
        <f>ROUND((AC66-AB66)/(AC61-AB61),4)</f>
        <v>9.5999999999999992E-3</v>
      </c>
      <c r="AE66" s="217">
        <f>ROUND(AB66-AB61*AD66,2)</f>
        <v>10.119999999999999</v>
      </c>
      <c r="AF66" s="211">
        <v>24.5</v>
      </c>
      <c r="AG66" s="212">
        <v>30.4</v>
      </c>
      <c r="AH66" s="203">
        <f>ROUND((AG66-AF66)/(AG61-AF61),4)</f>
        <v>1.18E-2</v>
      </c>
      <c r="AI66" s="217">
        <f>ROUND(AF66-AF61*AH66,2)</f>
        <v>9.16</v>
      </c>
      <c r="AJ66" s="211">
        <v>27.6</v>
      </c>
      <c r="AK66" s="212">
        <v>34.200000000000003</v>
      </c>
      <c r="AL66" s="203">
        <f>ROUND((AK66-AJ66)/(AK61-AJ61),4)</f>
        <v>1.32E-2</v>
      </c>
      <c r="AM66" s="217">
        <f>ROUND(AJ66-AJ61*AL66,2)</f>
        <v>10.44</v>
      </c>
      <c r="AN66" s="211">
        <v>28</v>
      </c>
      <c r="AO66" s="212">
        <v>34.700000000000003</v>
      </c>
      <c r="AP66" s="203">
        <f>ROUND((AO66-AN66)/(AO61-AN61),4)</f>
        <v>1.34E-2</v>
      </c>
      <c r="AQ66" s="217">
        <f>ROUND(AN66-AN61*AP66,2)</f>
        <v>10.58</v>
      </c>
      <c r="AR66" s="211">
        <v>29.5</v>
      </c>
      <c r="AS66" s="212">
        <v>36.299999999999997</v>
      </c>
      <c r="AT66" s="203">
        <f>ROUND((AS66-AR66)/(AS61-AR61),4)</f>
        <v>1.3599999999999999E-2</v>
      </c>
      <c r="AU66" s="217">
        <f>ROUND(AR66-AR61*AT66,2)</f>
        <v>11.82</v>
      </c>
    </row>
    <row r="67" spans="1:47">
      <c r="A67" t="s">
        <v>249</v>
      </c>
      <c r="B67" s="163" t="e">
        <f>VLOOKUP(B64,E61:M75,VLOOKUP(B63,B$345:D$348,3,FALSE))</f>
        <v>#REF!</v>
      </c>
      <c r="D67" s="133">
        <v>7</v>
      </c>
      <c r="E67" s="133">
        <v>-10</v>
      </c>
      <c r="F67" s="203">
        <f>INDEX($R62:$AU76,$D67,1+VLOOKUP($B62,$B$351:$E$368,4,FALSE))</f>
        <v>1.0200000000000001E-2</v>
      </c>
      <c r="G67" s="203">
        <f>INDEX($R62:$AU76,$D67,2+VLOOKUP($B62,$B$351:$E$368,4,FALSE))</f>
        <v>8.44</v>
      </c>
      <c r="H67" s="203">
        <f>INDEX($R62:$AU76,$D67,5+VLOOKUP($B62,$B$351:$E$368,4,FALSE))</f>
        <v>1.18E-2</v>
      </c>
      <c r="I67" s="203">
        <f>INDEX($R62:$AU76,$D67,6+VLOOKUP($B62,$B$351:$E$368,4,FALSE))</f>
        <v>9.36</v>
      </c>
      <c r="J67" s="203">
        <f>INDEX($R62:$AU76,$D67,9+VLOOKUP($B62,$B$351:$E$368,4,FALSE))</f>
        <v>1.2E-2</v>
      </c>
      <c r="K67" s="203">
        <f>INDEX($R62:$AU76,$D67,10+VLOOKUP($B62,$B$351:$E$368,4,FALSE))</f>
        <v>9.5</v>
      </c>
      <c r="L67" s="203">
        <f>INDEX($R62:$AU76,$D67,13+VLOOKUP($B62,$B$351:$E$368,4,FALSE))</f>
        <v>1.2200000000000001E-2</v>
      </c>
      <c r="M67" s="203">
        <f>INDEX($R62:$AU76,$D67,14+VLOOKUP($B62,$B$351:$E$368,4,FALSE))</f>
        <v>10.74</v>
      </c>
      <c r="O67" s="215">
        <v>-15</v>
      </c>
      <c r="P67" s="218">
        <v>17.8</v>
      </c>
      <c r="Q67" s="219">
        <v>21.6</v>
      </c>
      <c r="R67" s="203">
        <f>ROUND((Q67-P67)/(Q61-P61),4)</f>
        <v>7.6E-3</v>
      </c>
      <c r="S67" s="217">
        <f>ROUND(P67-P61*R67,2)</f>
        <v>7.92</v>
      </c>
      <c r="T67" s="218">
        <v>20.100000000000001</v>
      </c>
      <c r="U67" s="219">
        <v>24.5</v>
      </c>
      <c r="V67" s="203">
        <f>ROUND((U67-T67)/(U61-T61),4)</f>
        <v>8.8000000000000005E-3</v>
      </c>
      <c r="W67" s="217">
        <f>ROUND(T67-T61*V67,2)</f>
        <v>8.66</v>
      </c>
      <c r="X67" s="218">
        <v>20.5</v>
      </c>
      <c r="Y67" s="219">
        <v>24.9</v>
      </c>
      <c r="Z67" s="203">
        <f>ROUND((Y67-X67)/(Y61-X61),4)</f>
        <v>8.8000000000000005E-3</v>
      </c>
      <c r="AA67" s="217">
        <f>ROUND(X67-X61*Z67,2)</f>
        <v>9.06</v>
      </c>
      <c r="AB67" s="218">
        <v>21.5</v>
      </c>
      <c r="AC67" s="219">
        <v>26</v>
      </c>
      <c r="AD67" s="203">
        <f>ROUND((AC67-AB67)/(AC61-AB61),4)</f>
        <v>8.9999999999999993E-3</v>
      </c>
      <c r="AE67" s="217">
        <f>ROUND(AB67-AB61*AD67,2)</f>
        <v>9.8000000000000007</v>
      </c>
      <c r="AF67" s="211">
        <v>23.1</v>
      </c>
      <c r="AG67" s="212">
        <v>28.6</v>
      </c>
      <c r="AH67" s="203">
        <f>ROUND((AG67-AF67)/(AG61-AF61),4)</f>
        <v>1.0999999999999999E-2</v>
      </c>
      <c r="AI67" s="217">
        <f>ROUND(AF67-AF61*AH67,2)</f>
        <v>8.8000000000000007</v>
      </c>
      <c r="AJ67" s="211">
        <v>26.1</v>
      </c>
      <c r="AK67" s="212">
        <v>32.4</v>
      </c>
      <c r="AL67" s="203">
        <f>ROUND((AK67-AJ67)/(AK61-AJ61),4)</f>
        <v>1.26E-2</v>
      </c>
      <c r="AM67" s="217">
        <f>ROUND(AJ67-AJ61*AL67,2)</f>
        <v>9.7200000000000006</v>
      </c>
      <c r="AN67" s="211">
        <v>26.6</v>
      </c>
      <c r="AO67" s="212">
        <v>32.9</v>
      </c>
      <c r="AP67" s="203">
        <f>ROUND((AO67-AN67)/(AO61-AN61),4)</f>
        <v>1.26E-2</v>
      </c>
      <c r="AQ67" s="217">
        <f>ROUND(AN67-AN61*AP67,2)</f>
        <v>10.220000000000001</v>
      </c>
      <c r="AR67" s="211">
        <v>28</v>
      </c>
      <c r="AS67" s="212">
        <v>34.5</v>
      </c>
      <c r="AT67" s="203">
        <f>ROUND((AS67-AR67)/(AS61-AR61),4)</f>
        <v>1.2999999999999999E-2</v>
      </c>
      <c r="AU67" s="217">
        <f>ROUND(AR67-AR61*AT67,2)</f>
        <v>11.1</v>
      </c>
    </row>
    <row r="68" spans="1:47">
      <c r="D68" s="133">
        <v>8</v>
      </c>
      <c r="E68" s="133">
        <v>-5</v>
      </c>
      <c r="F68" s="203">
        <f>INDEX($R62:$AU76,$D68,1+VLOOKUP($B62,$B$351:$E$368,4,FALSE))</f>
        <v>9.5999999999999992E-3</v>
      </c>
      <c r="G68" s="203">
        <f>INDEX($R62:$AU76,$D68,2+VLOOKUP($B62,$B$351:$E$368,4,FALSE))</f>
        <v>7.72</v>
      </c>
      <c r="H68" s="203">
        <f>INDEX($R62:$AU76,$D68,5+VLOOKUP($B62,$B$351:$E$368,4,FALSE))</f>
        <v>1.12E-2</v>
      </c>
      <c r="I68" s="203">
        <f>INDEX($R62:$AU76,$D68,6+VLOOKUP($B62,$B$351:$E$368,4,FALSE))</f>
        <v>8.64</v>
      </c>
      <c r="J68" s="203">
        <f>INDEX($R62:$AU76,$D68,9+VLOOKUP($B62,$B$351:$E$368,4,FALSE))</f>
        <v>1.12E-2</v>
      </c>
      <c r="K68" s="203">
        <f>INDEX($R62:$AU76,$D68,10+VLOOKUP($B62,$B$351:$E$368,4,FALSE))</f>
        <v>9.14</v>
      </c>
      <c r="L68" s="203">
        <f>INDEX($R62:$AU76,$D68,13+VLOOKUP($B62,$B$351:$E$368,4,FALSE))</f>
        <v>1.1599999999999999E-2</v>
      </c>
      <c r="M68" s="203">
        <f>INDEX($R62:$AU76,$D68,14+VLOOKUP($B62,$B$351:$E$368,4,FALSE))</f>
        <v>10.02</v>
      </c>
      <c r="O68" s="215">
        <v>-10</v>
      </c>
      <c r="P68" s="218">
        <v>16.7</v>
      </c>
      <c r="Q68" s="219">
        <v>20.3</v>
      </c>
      <c r="R68" s="203">
        <f>ROUND((Q68-P68)/(Q61-P61),4)</f>
        <v>7.1999999999999998E-3</v>
      </c>
      <c r="S68" s="217">
        <f>ROUND(P68-P61*R68,2)</f>
        <v>7.34</v>
      </c>
      <c r="T68" s="218">
        <v>19</v>
      </c>
      <c r="U68" s="219">
        <v>23.2</v>
      </c>
      <c r="V68" s="203">
        <f>ROUND((U68-T68)/(U61-T61),4)</f>
        <v>8.3999999999999995E-3</v>
      </c>
      <c r="W68" s="217">
        <f>ROUND(T68-T61*V68,2)</f>
        <v>8.08</v>
      </c>
      <c r="X68" s="218">
        <v>19.399999999999999</v>
      </c>
      <c r="Y68" s="219">
        <v>23.5</v>
      </c>
      <c r="Z68" s="203">
        <f>ROUND((Y68-X68)/(Y61-X61),4)</f>
        <v>8.2000000000000007E-3</v>
      </c>
      <c r="AA68" s="217">
        <f>ROUND(X68-X61*Z68,2)</f>
        <v>8.74</v>
      </c>
      <c r="AB68" s="218">
        <v>20.399999999999999</v>
      </c>
      <c r="AC68" s="219">
        <v>24.7</v>
      </c>
      <c r="AD68" s="203">
        <f>ROUND((AC68-AB68)/(AC61-AB61),4)</f>
        <v>8.6E-3</v>
      </c>
      <c r="AE68" s="217">
        <f>ROUND(AB68-AB61*AD68,2)</f>
        <v>9.2200000000000006</v>
      </c>
      <c r="AF68" s="211">
        <v>21.7</v>
      </c>
      <c r="AG68" s="212">
        <v>26.8</v>
      </c>
      <c r="AH68" s="203">
        <f>ROUND((AG68-AF68)/(AG61-AF61),4)</f>
        <v>1.0200000000000001E-2</v>
      </c>
      <c r="AI68" s="217">
        <f>ROUND(AF68-AF61*AH68,2)</f>
        <v>8.44</v>
      </c>
      <c r="AJ68" s="211">
        <v>24.7</v>
      </c>
      <c r="AK68" s="212">
        <v>30.6</v>
      </c>
      <c r="AL68" s="203">
        <f>ROUND((AK68-AJ68)/(AK61-AJ61),4)</f>
        <v>1.18E-2</v>
      </c>
      <c r="AM68" s="217">
        <f>ROUND(AJ68-AJ61*AL68,2)</f>
        <v>9.36</v>
      </c>
      <c r="AN68" s="211">
        <v>25.1</v>
      </c>
      <c r="AO68" s="212">
        <v>31.1</v>
      </c>
      <c r="AP68" s="203">
        <f>ROUND((AO68-AN68)/(AO61-AN61),4)</f>
        <v>1.2E-2</v>
      </c>
      <c r="AQ68" s="217">
        <f>ROUND(AN68-AN61*AP68,2)</f>
        <v>9.5</v>
      </c>
      <c r="AR68" s="211">
        <v>26.6</v>
      </c>
      <c r="AS68" s="212">
        <v>32.700000000000003</v>
      </c>
      <c r="AT68" s="203">
        <f>ROUND((AS68-AR68)/(AS61-AR61),4)</f>
        <v>1.2200000000000001E-2</v>
      </c>
      <c r="AU68" s="217">
        <f>ROUND(AR68-AR61*AT68,2)</f>
        <v>10.74</v>
      </c>
    </row>
    <row r="69" spans="1:47">
      <c r="A69" t="s">
        <v>254</v>
      </c>
      <c r="B69" s="163" t="e">
        <f>B61*B66+B67</f>
        <v>#REF!</v>
      </c>
      <c r="D69" s="133">
        <v>9</v>
      </c>
      <c r="E69" s="133">
        <v>0</v>
      </c>
      <c r="F69" s="203">
        <f>INDEX($R62:$AU76,$D69,1+VLOOKUP($B62,$B$351:$E$368,4,FALSE))</f>
        <v>8.8000000000000005E-3</v>
      </c>
      <c r="G69" s="203">
        <f>INDEX($R62:$AU76,$D69,2+VLOOKUP($B62,$B$351:$E$368,4,FALSE))</f>
        <v>7.36</v>
      </c>
      <c r="H69" s="203">
        <f>INDEX($R62:$AU76,$D69,5+VLOOKUP($B62,$B$351:$E$368,4,FALSE))</f>
        <v>1.04E-2</v>
      </c>
      <c r="I69" s="203">
        <f>INDEX($R62:$AU76,$D69,6+VLOOKUP($B62,$B$351:$E$368,4,FALSE))</f>
        <v>8.2799999999999994</v>
      </c>
      <c r="J69" s="203">
        <f>INDEX($R62:$AU76,$D69,9+VLOOKUP($B62,$B$351:$E$368,4,FALSE))</f>
        <v>1.04E-2</v>
      </c>
      <c r="K69" s="203">
        <f>INDEX($R62:$AU76,$D69,10+VLOOKUP($B62,$B$351:$E$368,4,FALSE))</f>
        <v>8.7799999999999994</v>
      </c>
      <c r="L69" s="203">
        <f>INDEX($R62:$AU76,$D69,13+VLOOKUP($B62,$B$351:$E$368,4,FALSE))</f>
        <v>1.0800000000000001E-2</v>
      </c>
      <c r="M69" s="203">
        <f>INDEX($R62:$AU76,$D69,14+VLOOKUP($B62,$B$351:$E$368,4,FALSE))</f>
        <v>9.66</v>
      </c>
      <c r="O69" s="215">
        <v>-5</v>
      </c>
      <c r="P69" s="218">
        <v>15.6</v>
      </c>
      <c r="Q69" s="219">
        <v>18.899999999999999</v>
      </c>
      <c r="R69" s="203">
        <f>ROUND((Q69-P69)/(Q61-P61),4)</f>
        <v>6.6E-3</v>
      </c>
      <c r="S69" s="217">
        <f>ROUND(P69-P61*R69,2)</f>
        <v>7.02</v>
      </c>
      <c r="T69" s="218">
        <v>17.899999999999999</v>
      </c>
      <c r="U69" s="219">
        <v>21.8</v>
      </c>
      <c r="V69" s="203">
        <f>ROUND((U69-T69)/(U61-T61),4)</f>
        <v>7.7999999999999996E-3</v>
      </c>
      <c r="W69" s="217">
        <f>ROUND(T69-T61*V69,2)</f>
        <v>7.76</v>
      </c>
      <c r="X69" s="218">
        <v>18.2</v>
      </c>
      <c r="Y69" s="219">
        <v>22.1</v>
      </c>
      <c r="Z69" s="203">
        <f>ROUND((Y69-X69)/(Y61-X61),4)</f>
        <v>7.7999999999999996E-3</v>
      </c>
      <c r="AA69" s="217">
        <f>ROUND(X69-X61*Z69,2)</f>
        <v>8.06</v>
      </c>
      <c r="AB69" s="218">
        <v>19.2</v>
      </c>
      <c r="AC69" s="219">
        <v>23.3</v>
      </c>
      <c r="AD69" s="203">
        <f>ROUND((AC69-AB69)/(AC61-AB61),4)</f>
        <v>8.2000000000000007E-3</v>
      </c>
      <c r="AE69" s="217">
        <f>ROUND(AB69-AB61*AD69,2)</f>
        <v>8.5399999999999991</v>
      </c>
      <c r="AF69" s="211">
        <v>20.2</v>
      </c>
      <c r="AG69" s="212">
        <v>25</v>
      </c>
      <c r="AH69" s="203">
        <f>ROUND((AG69-AF69)/(AG61-AF61),4)</f>
        <v>9.5999999999999992E-3</v>
      </c>
      <c r="AI69" s="217">
        <f>ROUND(AF69-AF61*AH69,2)</f>
        <v>7.72</v>
      </c>
      <c r="AJ69" s="211">
        <v>23.2</v>
      </c>
      <c r="AK69" s="212">
        <v>28.8</v>
      </c>
      <c r="AL69" s="203">
        <f>ROUND((AK69-AJ69)/(AK61-AJ61),4)</f>
        <v>1.12E-2</v>
      </c>
      <c r="AM69" s="217">
        <f>ROUND(AJ69-AJ61*AL69,2)</f>
        <v>8.64</v>
      </c>
      <c r="AN69" s="211">
        <v>23.7</v>
      </c>
      <c r="AO69" s="212">
        <v>29.3</v>
      </c>
      <c r="AP69" s="203">
        <f>ROUND((AO69-AN69)/(AO61-AN61),4)</f>
        <v>1.12E-2</v>
      </c>
      <c r="AQ69" s="217">
        <f>ROUND(AN69-AN61*AP69,2)</f>
        <v>9.14</v>
      </c>
      <c r="AR69" s="211">
        <v>25.1</v>
      </c>
      <c r="AS69" s="212">
        <v>30.9</v>
      </c>
      <c r="AT69" s="203">
        <f>ROUND((AS69-AR69)/(AS61-AR61),4)</f>
        <v>1.1599999999999999E-2</v>
      </c>
      <c r="AU69" s="217">
        <f>ROUND(AR69-AR61*AT69,2)</f>
        <v>10.02</v>
      </c>
    </row>
    <row r="70" spans="1:47">
      <c r="A70" t="s">
        <v>255</v>
      </c>
      <c r="B70" s="163" t="e">
        <f>ROUND(B69/(0.000335*B61),1)+B64</f>
        <v>#REF!</v>
      </c>
      <c r="D70" s="133">
        <v>10</v>
      </c>
      <c r="E70" s="133">
        <v>5</v>
      </c>
      <c r="F70" s="203">
        <f>INDEX($R62:$AU76,$D70,1+VLOOKUP($B62,$B$351:$E$368,4,FALSE))</f>
        <v>8.2000000000000007E-3</v>
      </c>
      <c r="G70" s="203">
        <f>INDEX($R62:$AU76,$D70,2+VLOOKUP($B62,$B$351:$E$368,4,FALSE))</f>
        <v>6.64</v>
      </c>
      <c r="H70" s="203">
        <f>INDEX($R62:$AU76,$D70,5+VLOOKUP($B62,$B$351:$E$368,4,FALSE))</f>
        <v>9.5999999999999992E-3</v>
      </c>
      <c r="I70" s="203">
        <f>INDEX($R62:$AU76,$D70,6+VLOOKUP($B62,$B$351:$E$368,4,FALSE))</f>
        <v>7.92</v>
      </c>
      <c r="J70" s="203">
        <f>INDEX($R62:$AU76,$D70,9+VLOOKUP($B62,$B$351:$E$368,4,FALSE))</f>
        <v>9.7999999999999997E-3</v>
      </c>
      <c r="K70" s="203">
        <f>INDEX($R62:$AU76,$D70,10+VLOOKUP($B62,$B$351:$E$368,4,FALSE))</f>
        <v>8.06</v>
      </c>
      <c r="L70" s="203">
        <f>INDEX($R62:$AU76,$D70,13+VLOOKUP($B62,$B$351:$E$368,4,FALSE))</f>
        <v>1.0200000000000001E-2</v>
      </c>
      <c r="M70" s="203">
        <f>INDEX($R62:$AU76,$D70,14+VLOOKUP($B62,$B$351:$E$368,4,FALSE))</f>
        <v>8.94</v>
      </c>
      <c r="O70" s="215">
        <v>0</v>
      </c>
      <c r="P70" s="218">
        <v>14.4</v>
      </c>
      <c r="Q70" s="219">
        <v>17.5</v>
      </c>
      <c r="R70" s="203">
        <f>ROUND((Q70-P70)/(Q61-P61),4)</f>
        <v>6.1999999999999998E-3</v>
      </c>
      <c r="S70" s="217">
        <f>ROUND(P70-P61*R70,2)</f>
        <v>6.34</v>
      </c>
      <c r="T70" s="218">
        <v>16.8</v>
      </c>
      <c r="U70" s="219">
        <v>20.399999999999999</v>
      </c>
      <c r="V70" s="203">
        <f>ROUND((U70-T70)/(U61-T61),4)</f>
        <v>7.1999999999999998E-3</v>
      </c>
      <c r="W70" s="217">
        <f>ROUND(T70-T61*V70,2)</f>
        <v>7.44</v>
      </c>
      <c r="X70" s="218">
        <v>17.100000000000001</v>
      </c>
      <c r="Y70" s="219">
        <v>20.8</v>
      </c>
      <c r="Z70" s="203">
        <f>ROUND((Y70-X70)/(Y61-X61),4)</f>
        <v>7.4000000000000003E-3</v>
      </c>
      <c r="AA70" s="217">
        <f>ROUND(X70-X61*Z70,2)</f>
        <v>7.48</v>
      </c>
      <c r="AB70" s="218">
        <v>18.100000000000001</v>
      </c>
      <c r="AC70" s="219">
        <v>21.9</v>
      </c>
      <c r="AD70" s="203">
        <f>ROUND((AC70-AB70)/(AC61-AB61),4)</f>
        <v>7.6E-3</v>
      </c>
      <c r="AE70" s="217">
        <f>ROUND(AB70-AB61*AD70,2)</f>
        <v>8.2200000000000006</v>
      </c>
      <c r="AF70" s="211">
        <v>18.8</v>
      </c>
      <c r="AG70" s="212">
        <v>23.2</v>
      </c>
      <c r="AH70" s="203">
        <f>ROUND((AG70-AF70)/(AG61-AF61),4)</f>
        <v>8.8000000000000005E-3</v>
      </c>
      <c r="AI70" s="217">
        <f>ROUND(AF70-AF61*AH70,2)</f>
        <v>7.36</v>
      </c>
      <c r="AJ70" s="211">
        <v>21.8</v>
      </c>
      <c r="AK70" s="212">
        <v>27</v>
      </c>
      <c r="AL70" s="203">
        <f>ROUND((AK70-AJ70)/(AK61-AJ61),4)</f>
        <v>1.04E-2</v>
      </c>
      <c r="AM70" s="217">
        <f>ROUND(AJ70-AJ61*AL70,2)</f>
        <v>8.2799999999999994</v>
      </c>
      <c r="AN70" s="211">
        <v>22.3</v>
      </c>
      <c r="AO70" s="212">
        <v>27.5</v>
      </c>
      <c r="AP70" s="203">
        <f>ROUND((AO70-AN70)/(AO61-AN61),4)</f>
        <v>1.04E-2</v>
      </c>
      <c r="AQ70" s="217">
        <f>ROUND(AN70-AN61*AP70,2)</f>
        <v>8.7799999999999994</v>
      </c>
      <c r="AR70" s="211">
        <v>23.7</v>
      </c>
      <c r="AS70" s="212">
        <v>29.1</v>
      </c>
      <c r="AT70" s="203">
        <f>ROUND((AS70-AR70)/(AS61-AR61),4)</f>
        <v>1.0800000000000001E-2</v>
      </c>
      <c r="AU70" s="217">
        <f>ROUND(AR70-AR61*AT70,2)</f>
        <v>9.66</v>
      </c>
    </row>
    <row r="71" spans="1:47">
      <c r="D71" s="133">
        <v>11</v>
      </c>
      <c r="E71" s="133">
        <v>10</v>
      </c>
      <c r="F71" s="203">
        <f>INDEX($R62:$AU76,$D71,1+VLOOKUP($B62,$B$351:$E$368,4,FALSE))</f>
        <v>7.4000000000000003E-3</v>
      </c>
      <c r="G71" s="203">
        <f>INDEX($R62:$AU76,$D71,2+VLOOKUP($B62,$B$351:$E$368,4,FALSE))</f>
        <v>6.28</v>
      </c>
      <c r="H71" s="203">
        <f>INDEX($R62:$AU76,$D71,5+VLOOKUP($B62,$B$351:$E$368,4,FALSE))</f>
        <v>8.9999999999999993E-3</v>
      </c>
      <c r="I71" s="203">
        <f>INDEX($R62:$AU76,$D71,6+VLOOKUP($B62,$B$351:$E$368,4,FALSE))</f>
        <v>7.2</v>
      </c>
      <c r="J71" s="203">
        <f>INDEX($R62:$AU76,$D71,9+VLOOKUP($B62,$B$351:$E$368,4,FALSE))</f>
        <v>8.9999999999999993E-3</v>
      </c>
      <c r="K71" s="203">
        <f>INDEX($R62:$AU76,$D71,10+VLOOKUP($B62,$B$351:$E$368,4,FALSE))</f>
        <v>7.7</v>
      </c>
      <c r="L71" s="203">
        <f>INDEX($R62:$AU76,$D71,13+VLOOKUP($B62,$B$351:$E$368,4,FALSE))</f>
        <v>9.1999999999999998E-3</v>
      </c>
      <c r="M71" s="203">
        <f>INDEX($R62:$AU76,$D71,14+VLOOKUP($B62,$B$351:$E$368,4,FALSE))</f>
        <v>8.84</v>
      </c>
      <c r="O71" s="215">
        <v>5</v>
      </c>
      <c r="P71" s="218">
        <v>13.3</v>
      </c>
      <c r="Q71" s="219">
        <v>16.2</v>
      </c>
      <c r="R71" s="203">
        <f>ROUND((Q71-P71)/(Q61-P61),4)</f>
        <v>5.7999999999999996E-3</v>
      </c>
      <c r="S71" s="217">
        <f>ROUND(P71-P61*R71,2)</f>
        <v>5.76</v>
      </c>
      <c r="T71" s="218">
        <v>15.7</v>
      </c>
      <c r="U71" s="219">
        <v>19.100000000000001</v>
      </c>
      <c r="V71" s="203">
        <f>ROUND((U71-T71)/(U61-T61),4)</f>
        <v>6.7999999999999996E-3</v>
      </c>
      <c r="W71" s="217">
        <f>ROUND(T71-T61*V71,2)</f>
        <v>6.86</v>
      </c>
      <c r="X71" s="218">
        <v>16</v>
      </c>
      <c r="Y71" s="219">
        <v>19.399999999999999</v>
      </c>
      <c r="Z71" s="203">
        <f>ROUND((Y71-X71)/(Y61-X61),4)</f>
        <v>6.7999999999999996E-3</v>
      </c>
      <c r="AA71" s="217">
        <f>ROUND(X71-X61*Z71,2)</f>
        <v>7.16</v>
      </c>
      <c r="AB71" s="218">
        <v>17</v>
      </c>
      <c r="AC71" s="219">
        <v>20.5</v>
      </c>
      <c r="AD71" s="203">
        <f>ROUND((AC71-AB71)/(AC61-AB61),4)</f>
        <v>7.0000000000000001E-3</v>
      </c>
      <c r="AE71" s="217">
        <f>ROUND(AB71-AB61*AD71,2)</f>
        <v>7.9</v>
      </c>
      <c r="AF71" s="211">
        <v>17.3</v>
      </c>
      <c r="AG71" s="212">
        <v>21.4</v>
      </c>
      <c r="AH71" s="203">
        <f>ROUND((AG71-AF71)/(AG61-AF61),4)</f>
        <v>8.2000000000000007E-3</v>
      </c>
      <c r="AI71" s="217">
        <f>ROUND(AF71-AF61*AH71,2)</f>
        <v>6.64</v>
      </c>
      <c r="AJ71" s="211">
        <v>20.399999999999999</v>
      </c>
      <c r="AK71" s="212">
        <v>25.2</v>
      </c>
      <c r="AL71" s="203">
        <f>ROUND((AK71-AJ71)/(AK61-AJ61),4)</f>
        <v>9.5999999999999992E-3</v>
      </c>
      <c r="AM71" s="217">
        <f>ROUND(AJ71-AJ61*AL71,2)</f>
        <v>7.92</v>
      </c>
      <c r="AN71" s="211">
        <v>20.8</v>
      </c>
      <c r="AO71" s="212">
        <v>25.7</v>
      </c>
      <c r="AP71" s="203">
        <f>ROUND((AO71-AN71)/(AO61-AN61),4)</f>
        <v>9.7999999999999997E-3</v>
      </c>
      <c r="AQ71" s="217">
        <f>ROUND(AN71-AN61*AP71,2)</f>
        <v>8.06</v>
      </c>
      <c r="AR71" s="211">
        <v>22.2</v>
      </c>
      <c r="AS71" s="212">
        <v>27.3</v>
      </c>
      <c r="AT71" s="203">
        <f>ROUND((AS71-AR71)/(AS61-AR61),4)</f>
        <v>1.0200000000000001E-2</v>
      </c>
      <c r="AU71" s="217">
        <f>ROUND(AR71-AR61*AT71,2)</f>
        <v>8.94</v>
      </c>
    </row>
    <row r="72" spans="1:47">
      <c r="A72" t="s">
        <v>256</v>
      </c>
      <c r="B72" s="163" t="e">
        <f>ROUND(B69/(4183*VLOOKUP(B63,B$345:E$348,4,FALSE))*3600,2)</f>
        <v>#REF!</v>
      </c>
      <c r="D72" s="133">
        <v>12</v>
      </c>
      <c r="E72" s="133">
        <v>15</v>
      </c>
      <c r="F72" s="203">
        <f>INDEX($R62:$AU76,$D72,1+VLOOKUP($B62,$B$351:$E$368,4,FALSE))</f>
        <v>6.6E-3</v>
      </c>
      <c r="G72" s="203">
        <f>INDEX($R62:$AU76,$D72,2+VLOOKUP($B62,$B$351:$E$368,4,FALSE))</f>
        <v>5.92</v>
      </c>
      <c r="H72" s="203">
        <f>INDEX($R62:$AU76,$D72,5+VLOOKUP($B62,$B$351:$E$368,4,FALSE))</f>
        <v>8.2000000000000007E-3</v>
      </c>
      <c r="I72" s="203">
        <f>INDEX($R62:$AU76,$D72,6+VLOOKUP($B62,$B$351:$E$368,4,FALSE))</f>
        <v>6.84</v>
      </c>
      <c r="J72" s="203">
        <f>INDEX($R62:$AU76,$D72,9+VLOOKUP($B62,$B$351:$E$368,4,FALSE))</f>
        <v>8.3999999999999995E-3</v>
      </c>
      <c r="K72" s="203">
        <f>INDEX($R62:$AU76,$D72,10+VLOOKUP($B62,$B$351:$E$368,4,FALSE))</f>
        <v>6.98</v>
      </c>
      <c r="L72" s="203">
        <f>INDEX($R62:$AU76,$D72,13+VLOOKUP($B62,$B$351:$E$368,4,FALSE))</f>
        <v>8.6E-3</v>
      </c>
      <c r="M72" s="203">
        <f>INDEX($R62:$AU76,$D72,14+VLOOKUP($B62,$B$351:$E$368,4,FALSE))</f>
        <v>8.1199999999999992</v>
      </c>
      <c r="O72" s="215">
        <v>10</v>
      </c>
      <c r="P72" s="218">
        <v>12.2</v>
      </c>
      <c r="Q72" s="219">
        <v>14.8</v>
      </c>
      <c r="R72" s="203">
        <f>ROUND((Q72-P72)/(Q61-P61),4)</f>
        <v>5.1999999999999998E-3</v>
      </c>
      <c r="S72" s="217">
        <f>ROUND(P72-P61*R72,2)</f>
        <v>5.44</v>
      </c>
      <c r="T72" s="218">
        <v>14.6</v>
      </c>
      <c r="U72" s="219">
        <v>17.7</v>
      </c>
      <c r="V72" s="203">
        <f>ROUND((U72-T72)/(U61-T61),4)</f>
        <v>6.1999999999999998E-3</v>
      </c>
      <c r="W72" s="217">
        <f>ROUND(T72-T61*V72,2)</f>
        <v>6.54</v>
      </c>
      <c r="X72" s="218">
        <v>14.9</v>
      </c>
      <c r="Y72" s="219">
        <v>18</v>
      </c>
      <c r="Z72" s="203">
        <f>ROUND((Y72-X72)/(Y61-X61),4)</f>
        <v>6.1999999999999998E-3</v>
      </c>
      <c r="AA72" s="217">
        <f>ROUND(X72-X61*Z72,2)</f>
        <v>6.84</v>
      </c>
      <c r="AB72" s="218">
        <v>15.9</v>
      </c>
      <c r="AC72" s="219">
        <v>19.2</v>
      </c>
      <c r="AD72" s="203">
        <f>ROUND((AC72-AB72)/(AC61-AB61),4)</f>
        <v>6.6E-3</v>
      </c>
      <c r="AE72" s="217">
        <f>ROUND(AB72-AB61*AD72,2)</f>
        <v>7.32</v>
      </c>
      <c r="AF72" s="211">
        <v>15.9</v>
      </c>
      <c r="AG72" s="212">
        <v>19.600000000000001</v>
      </c>
      <c r="AH72" s="203">
        <f>ROUND((AG72-AF72)/(AG61-AF61),4)</f>
        <v>7.4000000000000003E-3</v>
      </c>
      <c r="AI72" s="217">
        <f>ROUND(AF72-AF61*AH72,2)</f>
        <v>6.28</v>
      </c>
      <c r="AJ72" s="211">
        <v>18.899999999999999</v>
      </c>
      <c r="AK72" s="212">
        <v>23.4</v>
      </c>
      <c r="AL72" s="203">
        <f>ROUND((AK72-AJ72)/(AK61-AJ61),4)</f>
        <v>8.9999999999999993E-3</v>
      </c>
      <c r="AM72" s="217">
        <f>ROUND(AJ72-AJ61*AL72,2)</f>
        <v>7.2</v>
      </c>
      <c r="AN72" s="211">
        <v>19.399999999999999</v>
      </c>
      <c r="AO72" s="212">
        <v>23.9</v>
      </c>
      <c r="AP72" s="203">
        <f>ROUND((AO72-AN72)/(AO61-AN61),4)</f>
        <v>8.9999999999999993E-3</v>
      </c>
      <c r="AQ72" s="217">
        <f>ROUND(AN72-AN61*AP72,2)</f>
        <v>7.7</v>
      </c>
      <c r="AR72" s="211">
        <v>20.8</v>
      </c>
      <c r="AS72" s="212">
        <v>25.4</v>
      </c>
      <c r="AT72" s="203">
        <f>ROUND((AS72-AR72)/(AS61-AR61),4)</f>
        <v>9.1999999999999998E-3</v>
      </c>
      <c r="AU72" s="217">
        <f>ROUND(AR72-AR61*AT72,2)</f>
        <v>8.84</v>
      </c>
    </row>
    <row r="73" spans="1:47">
      <c r="A73" t="s">
        <v>257</v>
      </c>
      <c r="B73" s="163" t="e">
        <f>ROUND(100*POWER(B72/VLOOKUP(B62,B$351:C$368,2,FALSE),2),1)</f>
        <v>#REF!</v>
      </c>
      <c r="D73" s="133">
        <v>13</v>
      </c>
      <c r="E73" s="133">
        <v>20</v>
      </c>
      <c r="F73" s="203">
        <f>INDEX($R62:$AU76,$D73,1+VLOOKUP($B62,$B$351:$E$368,4,FALSE))</f>
        <v>5.8999999999999999E-3</v>
      </c>
      <c r="G73" s="203">
        <f>INDEX($R62:$AU76,$D73,2+VLOOKUP($B62,$B$351:$E$368,4,FALSE))</f>
        <v>5.36</v>
      </c>
      <c r="H73" s="203">
        <f>INDEX($R62:$AU76,$D73,5+VLOOKUP($B62,$B$351:$E$368,4,FALSE))</f>
        <v>7.4999999999999997E-3</v>
      </c>
      <c r="I73" s="203">
        <f>INDEX($R62:$AU76,$D73,6+VLOOKUP($B62,$B$351:$E$368,4,FALSE))</f>
        <v>6.3</v>
      </c>
      <c r="J73" s="203">
        <f>INDEX($R62:$AU76,$D73,9+VLOOKUP($B62,$B$351:$E$368,4,FALSE))</f>
        <v>7.6E-3</v>
      </c>
      <c r="K73" s="203">
        <f>INDEX($R62:$AU76,$D73,10+VLOOKUP($B62,$B$351:$E$368,4,FALSE))</f>
        <v>6.61</v>
      </c>
      <c r="L73" s="203">
        <f>INDEX($R62:$AU76,$D73,13+VLOOKUP($B62,$B$351:$E$368,4,FALSE))</f>
        <v>7.9000000000000008E-3</v>
      </c>
      <c r="M73" s="203">
        <f>INDEX($R62:$AU76,$D73,14+VLOOKUP($B62,$B$351:$E$368,4,FALSE))</f>
        <v>7.6</v>
      </c>
      <c r="O73" s="215">
        <v>15</v>
      </c>
      <c r="P73" s="218">
        <v>11.1</v>
      </c>
      <c r="Q73" s="219">
        <v>13.4</v>
      </c>
      <c r="R73" s="203">
        <f>ROUND((Q73-P73)/(Q61-P61),4)</f>
        <v>4.5999999999999999E-3</v>
      </c>
      <c r="S73" s="217">
        <f>ROUND(P73-P61*R73,2)</f>
        <v>5.12</v>
      </c>
      <c r="T73" s="218">
        <v>13.4</v>
      </c>
      <c r="U73" s="219">
        <v>16.3</v>
      </c>
      <c r="V73" s="203">
        <f>ROUND((U73-T73)/(U61-T61),4)</f>
        <v>5.7999999999999996E-3</v>
      </c>
      <c r="W73" s="217">
        <f>ROUND(T73-T61*V73,2)</f>
        <v>5.86</v>
      </c>
      <c r="X73" s="218">
        <v>13.8</v>
      </c>
      <c r="Y73" s="219">
        <v>16.7</v>
      </c>
      <c r="Z73" s="203">
        <f>ROUND((Y73-X73)/(Y61-X61),4)</f>
        <v>5.7999999999999996E-3</v>
      </c>
      <c r="AA73" s="217">
        <f>ROUND(X73-X61*Z73,2)</f>
        <v>6.26</v>
      </c>
      <c r="AB73" s="218">
        <v>14.7</v>
      </c>
      <c r="AC73" s="219">
        <v>17.8</v>
      </c>
      <c r="AD73" s="203">
        <f>ROUND((AC73-AB73)/(AC61-AB61),4)</f>
        <v>6.1999999999999998E-3</v>
      </c>
      <c r="AE73" s="217">
        <f>ROUND(AB73-AB61*AD73,2)</f>
        <v>6.64</v>
      </c>
      <c r="AF73" s="211">
        <v>14.5</v>
      </c>
      <c r="AG73" s="212">
        <v>17.8</v>
      </c>
      <c r="AH73" s="203">
        <f>ROUND((AG73-AF73)/(AG61-AF61),4)</f>
        <v>6.6E-3</v>
      </c>
      <c r="AI73" s="217">
        <f>ROUND(AF73-AF61*AH73,2)</f>
        <v>5.92</v>
      </c>
      <c r="AJ73" s="211">
        <v>17.5</v>
      </c>
      <c r="AK73" s="212">
        <v>21.6</v>
      </c>
      <c r="AL73" s="203">
        <f>ROUND((AK73-AJ73)/(AK61-AJ61),4)</f>
        <v>8.2000000000000007E-3</v>
      </c>
      <c r="AM73" s="217">
        <f>ROUND(AJ73-AJ61*AL73,2)</f>
        <v>6.84</v>
      </c>
      <c r="AN73" s="211">
        <v>17.899999999999999</v>
      </c>
      <c r="AO73" s="212">
        <v>22.1</v>
      </c>
      <c r="AP73" s="203">
        <f>ROUND((AO73-AN73)/(AO61-AN61),4)</f>
        <v>8.3999999999999995E-3</v>
      </c>
      <c r="AQ73" s="217">
        <f>ROUND(AN73-AN61*AP73,2)</f>
        <v>6.98</v>
      </c>
      <c r="AR73" s="211">
        <v>19.3</v>
      </c>
      <c r="AS73" s="212">
        <v>23.6</v>
      </c>
      <c r="AT73" s="203">
        <f>ROUND((AS73-AR73)/(AS61-AR61),4)</f>
        <v>8.6E-3</v>
      </c>
      <c r="AU73" s="217">
        <f>ROUND(AR73-AR61*AT73,2)</f>
        <v>8.1199999999999992</v>
      </c>
    </row>
    <row r="74" spans="1:47">
      <c r="D74" s="133">
        <v>14</v>
      </c>
      <c r="E74" s="133">
        <v>25</v>
      </c>
      <c r="F74" s="203">
        <f>INDEX($R62:$AU76,$D74,1+VLOOKUP($B62,$B$351:$E$368,4,FALSE))</f>
        <v>5.1999999999999998E-3</v>
      </c>
      <c r="G74" s="203">
        <f>INDEX($R62:$AU76,$D74,2+VLOOKUP($B62,$B$351:$E$368,4,FALSE))</f>
        <v>4.84</v>
      </c>
      <c r="H74" s="203">
        <f>INDEX($R62:$AU76,$D74,5+VLOOKUP($B62,$B$351:$E$368,4,FALSE))</f>
        <v>6.7999999999999996E-3</v>
      </c>
      <c r="I74" s="203">
        <f>INDEX($R62:$AU76,$D74,6+VLOOKUP($B62,$B$351:$E$368,4,FALSE))</f>
        <v>5.78</v>
      </c>
      <c r="J74" s="203">
        <f>INDEX($R62:$AU76,$D74,9+VLOOKUP($B62,$B$351:$E$368,4,FALSE))</f>
        <v>6.8999999999999999E-3</v>
      </c>
      <c r="K74" s="203">
        <f>INDEX($R62:$AU76,$D74,10+VLOOKUP($B62,$B$351:$E$368,4,FALSE))</f>
        <v>6.07</v>
      </c>
      <c r="L74" s="203">
        <f>INDEX($R62:$AU76,$D74,13+VLOOKUP($B62,$B$351:$E$368,4,FALSE))</f>
        <v>7.1999999999999998E-3</v>
      </c>
      <c r="M74" s="203">
        <f>INDEX($R62:$AU76,$D74,14+VLOOKUP($B62,$B$351:$E$368,4,FALSE))</f>
        <v>7.06</v>
      </c>
      <c r="O74" s="215">
        <v>20</v>
      </c>
      <c r="P74" s="218">
        <v>9.9800000000000395</v>
      </c>
      <c r="Q74" s="219">
        <v>12.06</v>
      </c>
      <c r="R74" s="203">
        <f>ROUND((Q74-P74)/(Q61-P61),4)</f>
        <v>4.1999999999999997E-3</v>
      </c>
      <c r="S74" s="217">
        <f>ROUND(P74-P61*R74,2)</f>
        <v>4.5199999999999996</v>
      </c>
      <c r="T74" s="218">
        <v>12.32</v>
      </c>
      <c r="U74" s="219">
        <v>14.96</v>
      </c>
      <c r="V74" s="203">
        <f>ROUND((U74-T74)/(U61-T61),4)</f>
        <v>5.3E-3</v>
      </c>
      <c r="W74" s="217">
        <f>ROUND(T74-T61*V74,2)</f>
        <v>5.43</v>
      </c>
      <c r="X74" s="218">
        <v>12.6666666666666</v>
      </c>
      <c r="Y74" s="219">
        <v>15.293333333333299</v>
      </c>
      <c r="Z74" s="203">
        <f>ROUND((Y74-X74)/(Y61-X61),4)</f>
        <v>5.3E-3</v>
      </c>
      <c r="AA74" s="217">
        <f>ROUND(X74-X61*Z74,2)</f>
        <v>5.78</v>
      </c>
      <c r="AB74" s="218">
        <v>13.626666666666701</v>
      </c>
      <c r="AC74" s="219">
        <v>16.413333333333298</v>
      </c>
      <c r="AD74" s="203">
        <f>ROUND((AC74-AB74)/(AC61-AB61),4)</f>
        <v>5.5999999999999999E-3</v>
      </c>
      <c r="AE74" s="217">
        <f>ROUND(AB74-AB61*AD74,2)</f>
        <v>6.35</v>
      </c>
      <c r="AF74" s="211">
        <v>13.033333333333299</v>
      </c>
      <c r="AG74" s="212">
        <v>16</v>
      </c>
      <c r="AH74" s="203">
        <f>ROUND((AG74-AF74)/(AG61-AF61),4)</f>
        <v>5.8999999999999999E-3</v>
      </c>
      <c r="AI74" s="217">
        <f>ROUND(AF74-AF61*AH74,2)</f>
        <v>5.36</v>
      </c>
      <c r="AJ74" s="211">
        <v>16.053333333333299</v>
      </c>
      <c r="AK74" s="212">
        <v>19.8</v>
      </c>
      <c r="AL74" s="203">
        <f>ROUND((AK74-AJ74)/(AK61-AJ61),4)</f>
        <v>7.4999999999999997E-3</v>
      </c>
      <c r="AM74" s="217">
        <f>ROUND(AJ74-AJ61*AL74,2)</f>
        <v>6.3</v>
      </c>
      <c r="AN74" s="211">
        <v>16.4866666666667</v>
      </c>
      <c r="AO74" s="212">
        <v>20.3</v>
      </c>
      <c r="AP74" s="203">
        <f>ROUND((AO74-AN74)/(AO61-AN61),4)</f>
        <v>7.6E-3</v>
      </c>
      <c r="AQ74" s="217">
        <f>ROUND(AN74-AN61*AP74,2)</f>
        <v>6.61</v>
      </c>
      <c r="AR74" s="211">
        <v>17.866666666666699</v>
      </c>
      <c r="AS74" s="212">
        <v>21.806666666666601</v>
      </c>
      <c r="AT74" s="203">
        <f>ROUND((AS74-AR74)/(AS61-AR61),4)</f>
        <v>7.9000000000000008E-3</v>
      </c>
      <c r="AU74" s="217">
        <f>ROUND(AR74-AR61*AT74,2)</f>
        <v>7.6</v>
      </c>
    </row>
    <row r="75" spans="1:47">
      <c r="D75" s="133">
        <v>15</v>
      </c>
      <c r="E75" s="133">
        <v>30</v>
      </c>
      <c r="F75" s="203">
        <f>INDEX($R62:$AU76,$D75,1+VLOOKUP($B62,$B$351:$E$368,4,FALSE))</f>
        <v>4.4999999999999997E-3</v>
      </c>
      <c r="G75" s="203">
        <f>INDEX($R62:$AU76,$D75,2+VLOOKUP($B62,$B$351:$E$368,4,FALSE))</f>
        <v>4.3099999999999996</v>
      </c>
      <c r="H75" s="203">
        <f>INDEX($R62:$AU76,$D75,5+VLOOKUP($B62,$B$351:$E$368,4,FALSE))</f>
        <v>6.0000000000000001E-3</v>
      </c>
      <c r="I75" s="203">
        <f>INDEX($R62:$AU76,$D75,6+VLOOKUP($B62,$B$351:$E$368,4,FALSE))</f>
        <v>5.38</v>
      </c>
      <c r="J75" s="203">
        <f>INDEX($R62:$AU76,$D75,9+VLOOKUP($B62,$B$351:$E$368,4,FALSE))</f>
        <v>6.1999999999999998E-3</v>
      </c>
      <c r="K75" s="203">
        <f>INDEX($R62:$AU76,$D75,10+VLOOKUP($B62,$B$351:$E$368,4,FALSE))</f>
        <v>5.54</v>
      </c>
      <c r="L75" s="203">
        <f>INDEX($R62:$AU76,$D75,13+VLOOKUP($B62,$B$351:$E$368,4,FALSE))</f>
        <v>6.4000000000000003E-3</v>
      </c>
      <c r="M75" s="203">
        <f>INDEX($R62:$AU76,$D75,14+VLOOKUP($B62,$B$351:$E$368,4,FALSE))</f>
        <v>6.64</v>
      </c>
      <c r="O75" s="215">
        <v>25</v>
      </c>
      <c r="P75" s="218">
        <v>8.8654545454545399</v>
      </c>
      <c r="Q75" s="219">
        <v>10.6927272727273</v>
      </c>
      <c r="R75" s="203">
        <f>ROUND((Q75-P75)/(Q61-P61),4)</f>
        <v>3.7000000000000002E-3</v>
      </c>
      <c r="S75" s="217">
        <f>ROUND(P75-P61*R75,2)</f>
        <v>4.0599999999999996</v>
      </c>
      <c r="T75" s="218">
        <v>11.201818181818201</v>
      </c>
      <c r="U75" s="219">
        <v>13.5927272727273</v>
      </c>
      <c r="V75" s="203">
        <f>ROUND((U75-T75)/(U61-T61),4)</f>
        <v>4.7999999999999996E-3</v>
      </c>
      <c r="W75" s="217">
        <f>ROUND(T75-T61*V75,2)</f>
        <v>4.96</v>
      </c>
      <c r="X75" s="218">
        <v>11.551515151515099</v>
      </c>
      <c r="Y75" s="219">
        <v>13.9230303030303</v>
      </c>
      <c r="Z75" s="203">
        <f>ROUND((Y75-X75)/(Y61-X61),4)</f>
        <v>4.7000000000000002E-3</v>
      </c>
      <c r="AA75" s="217">
        <f>ROUND(X75-X61*Z75,2)</f>
        <v>5.44</v>
      </c>
      <c r="AB75" s="218">
        <v>12.506060606060601</v>
      </c>
      <c r="AC75" s="219">
        <v>15.0375757575758</v>
      </c>
      <c r="AD75" s="203">
        <f>ROUND((AC75-AB75)/(AC61-AB61),4)</f>
        <v>5.1000000000000004E-3</v>
      </c>
      <c r="AE75" s="217">
        <f>ROUND(AB75-AB61*AD75,2)</f>
        <v>5.88</v>
      </c>
      <c r="AF75" s="211">
        <v>11.595757575757601</v>
      </c>
      <c r="AG75" s="212">
        <v>14.2</v>
      </c>
      <c r="AH75" s="203">
        <f>ROUND((AG75-AF75)/(AG61-AF61),4)</f>
        <v>5.1999999999999998E-3</v>
      </c>
      <c r="AI75" s="217">
        <f>ROUND(AF75-AF61*AH75,2)</f>
        <v>4.84</v>
      </c>
      <c r="AJ75" s="211">
        <v>14.6157575757576</v>
      </c>
      <c r="AK75" s="212">
        <v>18</v>
      </c>
      <c r="AL75" s="203">
        <f>ROUND((AK75-AJ75)/(AK61-AJ61),4)</f>
        <v>6.7999999999999996E-3</v>
      </c>
      <c r="AM75" s="217">
        <f>ROUND(AJ75-AJ61*AL75,2)</f>
        <v>5.78</v>
      </c>
      <c r="AN75" s="211">
        <v>15.0442424242424</v>
      </c>
      <c r="AO75" s="212">
        <v>18.5</v>
      </c>
      <c r="AP75" s="203">
        <f>ROUND((AO75-AN75)/(AO61-AN61),4)</f>
        <v>6.8999999999999999E-3</v>
      </c>
      <c r="AQ75" s="217">
        <f>ROUND(AN75-AN61*AP75,2)</f>
        <v>6.07</v>
      </c>
      <c r="AR75" s="211">
        <v>16.4151515151515</v>
      </c>
      <c r="AS75" s="212">
        <v>19.991515151515099</v>
      </c>
      <c r="AT75" s="203">
        <f>ROUND((AS75-AR75)/(AS61-AR61),4)</f>
        <v>7.1999999999999998E-3</v>
      </c>
      <c r="AU75" s="217">
        <f>ROUND(AR75-AR61*AT75,2)</f>
        <v>7.06</v>
      </c>
    </row>
    <row r="76" spans="1:47" ht="15" thickBot="1">
      <c r="O76" s="216">
        <v>30</v>
      </c>
      <c r="P76" s="230">
        <v>7.7509090909091398</v>
      </c>
      <c r="Q76" s="231">
        <v>9.3254545454545692</v>
      </c>
      <c r="R76" s="228">
        <f>ROUND((Q76-P76)/(Q61-P61),4)</f>
        <v>3.0999999999999999E-3</v>
      </c>
      <c r="S76" s="229">
        <f>ROUND(P76-P61*R76,2)</f>
        <v>3.72</v>
      </c>
      <c r="T76" s="230">
        <v>10.083636363636399</v>
      </c>
      <c r="U76" s="231">
        <v>12.2254545454546</v>
      </c>
      <c r="V76" s="228">
        <f>ROUND((U76-T76)/(U61-T61),4)</f>
        <v>4.3E-3</v>
      </c>
      <c r="W76" s="229">
        <f>ROUND(T76-T61*V76,2)</f>
        <v>4.49</v>
      </c>
      <c r="X76" s="230">
        <v>10.4363636363636</v>
      </c>
      <c r="Y76" s="231">
        <v>12.5527272727272</v>
      </c>
      <c r="Z76" s="228">
        <f>ROUND((Y76-X76)/(Y61-X61),4)</f>
        <v>4.1999999999999997E-3</v>
      </c>
      <c r="AA76" s="229">
        <f>ROUND(X76-X61*Z76,2)</f>
        <v>4.9800000000000004</v>
      </c>
      <c r="AB76" s="230">
        <v>11.3854545454546</v>
      </c>
      <c r="AC76" s="231">
        <v>13.6618181818182</v>
      </c>
      <c r="AD76" s="228">
        <f>ROUND((AC76-AB76)/(AC61-AB61),4)</f>
        <v>4.5999999999999999E-3</v>
      </c>
      <c r="AE76" s="229">
        <f>ROUND(AB76-AB61*AD76,2)</f>
        <v>5.41</v>
      </c>
      <c r="AF76" s="226">
        <v>10.1581818181818</v>
      </c>
      <c r="AG76" s="227">
        <v>12.4</v>
      </c>
      <c r="AH76" s="228">
        <f>ROUND((AG76-AF76)/(AG61-AF61),4)</f>
        <v>4.4999999999999997E-3</v>
      </c>
      <c r="AI76" s="229">
        <f>ROUND(AF76-AF61*AH76,2)</f>
        <v>4.3099999999999996</v>
      </c>
      <c r="AJ76" s="226">
        <v>13.1781818181818</v>
      </c>
      <c r="AK76" s="227">
        <v>16.2</v>
      </c>
      <c r="AL76" s="228">
        <f>ROUND((AK76-AJ76)/(AK61-AJ61),4)</f>
        <v>6.0000000000000001E-3</v>
      </c>
      <c r="AM76" s="229">
        <f>ROUND(AJ76-AJ61*AL76,2)</f>
        <v>5.38</v>
      </c>
      <c r="AN76" s="226">
        <v>13.601818181818199</v>
      </c>
      <c r="AO76" s="227">
        <v>16.7</v>
      </c>
      <c r="AP76" s="228">
        <f>ROUND((AO76-AN76)/(AO61-AN61),4)</f>
        <v>6.1999999999999998E-3</v>
      </c>
      <c r="AQ76" s="229">
        <f>ROUND(AN76-AN61*AP76,2)</f>
        <v>5.54</v>
      </c>
      <c r="AR76" s="226">
        <v>14.9636363636364</v>
      </c>
      <c r="AS76" s="227">
        <v>18.1763636363636</v>
      </c>
      <c r="AT76" s="228">
        <f>ROUND((AS76-AR76)/(AS61-AR61),4)</f>
        <v>6.4000000000000003E-3</v>
      </c>
      <c r="AU76" s="229">
        <f>ROUND(AR76-AR61*AT76,2)</f>
        <v>6.64</v>
      </c>
    </row>
    <row r="77" spans="1:47" ht="15" thickBot="1">
      <c r="O77" s="224"/>
      <c r="P77" s="225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</row>
    <row r="78" spans="1:47" ht="15" thickBot="1">
      <c r="E78" s="163"/>
      <c r="F78" s="596" t="s">
        <v>244</v>
      </c>
      <c r="G78" s="597"/>
      <c r="H78" s="597" t="s">
        <v>245</v>
      </c>
      <c r="I78" s="597"/>
      <c r="J78" s="597" t="s">
        <v>246</v>
      </c>
      <c r="K78" s="597"/>
      <c r="L78" s="597" t="s">
        <v>247</v>
      </c>
      <c r="M78" s="598"/>
      <c r="O78" s="204" t="s">
        <v>258</v>
      </c>
      <c r="P78" s="590" t="s">
        <v>286</v>
      </c>
      <c r="Q78" s="591"/>
      <c r="R78" s="591"/>
      <c r="S78" s="591"/>
      <c r="T78" s="591"/>
      <c r="U78" s="591"/>
      <c r="V78" s="591"/>
      <c r="W78" s="591"/>
      <c r="X78" s="591"/>
      <c r="Y78" s="591"/>
      <c r="Z78" s="591"/>
      <c r="AA78" s="591"/>
      <c r="AB78" s="591"/>
      <c r="AC78" s="591"/>
      <c r="AD78" s="591"/>
      <c r="AE78" s="592"/>
      <c r="AF78" s="590" t="s">
        <v>287</v>
      </c>
      <c r="AG78" s="591"/>
      <c r="AH78" s="591"/>
      <c r="AI78" s="591"/>
      <c r="AJ78" s="591"/>
      <c r="AK78" s="591"/>
      <c r="AL78" s="591"/>
      <c r="AM78" s="591"/>
      <c r="AN78" s="591"/>
      <c r="AO78" s="591"/>
      <c r="AP78" s="591"/>
      <c r="AQ78" s="591"/>
      <c r="AR78" s="591"/>
      <c r="AS78" s="591"/>
      <c r="AT78" s="591"/>
      <c r="AU78" s="592"/>
    </row>
    <row r="79" spans="1:47" ht="15" thickBot="1">
      <c r="E79" s="163"/>
      <c r="F79" s="221" t="s">
        <v>66</v>
      </c>
      <c r="G79" s="222" t="s">
        <v>249</v>
      </c>
      <c r="H79" s="222" t="s">
        <v>66</v>
      </c>
      <c r="I79" s="222" t="s">
        <v>249</v>
      </c>
      <c r="J79" s="222" t="s">
        <v>66</v>
      </c>
      <c r="K79" s="222" t="s">
        <v>249</v>
      </c>
      <c r="L79" s="222" t="s">
        <v>66</v>
      </c>
      <c r="M79" s="223" t="s">
        <v>249</v>
      </c>
      <c r="O79" s="205" t="s">
        <v>251</v>
      </c>
      <c r="P79" s="593" t="s">
        <v>276</v>
      </c>
      <c r="Q79" s="594"/>
      <c r="R79" s="594"/>
      <c r="S79" s="595"/>
      <c r="T79" s="593" t="s">
        <v>277</v>
      </c>
      <c r="U79" s="594"/>
      <c r="V79" s="594"/>
      <c r="W79" s="595"/>
      <c r="X79" s="593" t="s">
        <v>278</v>
      </c>
      <c r="Y79" s="594"/>
      <c r="Z79" s="594"/>
      <c r="AA79" s="595"/>
      <c r="AB79" s="593" t="s">
        <v>279</v>
      </c>
      <c r="AC79" s="594"/>
      <c r="AD79" s="594"/>
      <c r="AE79" s="595"/>
      <c r="AF79" s="593" t="s">
        <v>276</v>
      </c>
      <c r="AG79" s="594"/>
      <c r="AH79" s="594"/>
      <c r="AI79" s="595"/>
      <c r="AJ79" s="593" t="s">
        <v>277</v>
      </c>
      <c r="AK79" s="594"/>
      <c r="AL79" s="594"/>
      <c r="AM79" s="595"/>
      <c r="AN79" s="593" t="s">
        <v>278</v>
      </c>
      <c r="AO79" s="594"/>
      <c r="AP79" s="594"/>
      <c r="AQ79" s="595"/>
      <c r="AR79" s="593" t="s">
        <v>279</v>
      </c>
      <c r="AS79" s="594"/>
      <c r="AT79" s="594"/>
      <c r="AU79" s="595"/>
    </row>
    <row r="80" spans="1:47" ht="15" thickBot="1">
      <c r="A80" t="s">
        <v>248</v>
      </c>
      <c r="B80" s="163" t="e">
        <f>Задача_Расход</f>
        <v>#REF!</v>
      </c>
      <c r="D80" s="133">
        <v>1</v>
      </c>
      <c r="E80" s="133">
        <v>-40</v>
      </c>
      <c r="F80" s="220">
        <f>INDEX($R81:$AU95,$D80,1+VLOOKUP($B81,$B$351:$E$368,4,FALSE))</f>
        <v>0.01</v>
      </c>
      <c r="G80" s="220">
        <f>INDEX($R81:$AU95,$D80,2+VLOOKUP($B81,$B$351:$E$368,4,FALSE))</f>
        <v>11.73</v>
      </c>
      <c r="H80" s="220">
        <f>INDEX($R81:$AU95,$D80,5+VLOOKUP($B81,$B$351:$E$368,4,FALSE))</f>
        <v>1.09E-2</v>
      </c>
      <c r="I80" s="220">
        <f>INDEX($R81:$AU95,$D80,6+VLOOKUP($B81,$B$351:$E$368,4,FALSE))</f>
        <v>13.28</v>
      </c>
      <c r="J80" s="220">
        <f>INDEX($R81:$AU95,$D80,9+VLOOKUP($B81,$B$351:$E$368,4,FALSE))</f>
        <v>1.0999999999999999E-2</v>
      </c>
      <c r="K80" s="220">
        <f>INDEX($R81:$AU95,$D80,10+VLOOKUP($B81,$B$351:$E$368,4,FALSE))</f>
        <v>13.38</v>
      </c>
      <c r="L80" s="220">
        <f>INDEX($R81:$AU95,$D80,13+VLOOKUP($B81,$B$351:$E$368,4,FALSE))</f>
        <v>1.03E-2</v>
      </c>
      <c r="M80" s="220">
        <f>INDEX($R81:$AU95,$D80,14+VLOOKUP($B81,$B$351:$E$368,4,FALSE))</f>
        <v>15.86</v>
      </c>
      <c r="O80" s="206" t="s">
        <v>248</v>
      </c>
      <c r="P80" s="207">
        <v>1600</v>
      </c>
      <c r="Q80" s="208">
        <v>2150</v>
      </c>
      <c r="R80" s="208"/>
      <c r="S80" s="209"/>
      <c r="T80" s="207">
        <v>1600</v>
      </c>
      <c r="U80" s="208">
        <v>2150</v>
      </c>
      <c r="V80" s="208"/>
      <c r="W80" s="209"/>
      <c r="X80" s="207">
        <v>1600</v>
      </c>
      <c r="Y80" s="208">
        <v>2150</v>
      </c>
      <c r="Z80" s="208"/>
      <c r="AA80" s="209"/>
      <c r="AB80" s="207">
        <v>1600</v>
      </c>
      <c r="AC80" s="208">
        <v>2150</v>
      </c>
      <c r="AD80" s="208"/>
      <c r="AE80" s="209"/>
      <c r="AF80" s="207">
        <v>1600</v>
      </c>
      <c r="AG80" s="208">
        <v>2150</v>
      </c>
      <c r="AH80" s="208"/>
      <c r="AI80" s="209"/>
      <c r="AJ80" s="207">
        <v>1600</v>
      </c>
      <c r="AK80" s="208">
        <v>2150</v>
      </c>
      <c r="AL80" s="208"/>
      <c r="AM80" s="209"/>
      <c r="AN80" s="207">
        <v>1600</v>
      </c>
      <c r="AO80" s="208">
        <v>2150</v>
      </c>
      <c r="AP80" s="208"/>
      <c r="AQ80" s="209"/>
      <c r="AR80" s="207">
        <v>1600</v>
      </c>
      <c r="AS80" s="208">
        <v>2150</v>
      </c>
      <c r="AT80" s="208"/>
      <c r="AU80" s="209"/>
    </row>
    <row r="81" spans="1:47">
      <c r="A81" t="s">
        <v>250</v>
      </c>
      <c r="B81" s="163" t="s">
        <v>263</v>
      </c>
      <c r="D81" s="133">
        <v>2</v>
      </c>
      <c r="E81" s="133">
        <v>-35</v>
      </c>
      <c r="F81" s="203">
        <f>INDEX($R81:$AU95,$D81,1+VLOOKUP($B81,$B$351:$E$368,4,FALSE))</f>
        <v>9.4999999999999998E-3</v>
      </c>
      <c r="G81" s="203">
        <f>INDEX($R81:$AU95,$D81,2+VLOOKUP($B81,$B$351:$E$368,4,FALSE))</f>
        <v>11.19</v>
      </c>
      <c r="H81" s="203">
        <f>INDEX($R81:$AU95,$D81,5+VLOOKUP($B81,$B$351:$E$368,4,FALSE))</f>
        <v>1.04E-2</v>
      </c>
      <c r="I81" s="203">
        <f>INDEX($R81:$AU95,$D81,6+VLOOKUP($B81,$B$351:$E$368,4,FALSE))</f>
        <v>12.73</v>
      </c>
      <c r="J81" s="203">
        <f>INDEX($R81:$AU95,$D81,9+VLOOKUP($B81,$B$351:$E$368,4,FALSE))</f>
        <v>1.0500000000000001E-2</v>
      </c>
      <c r="K81" s="203">
        <f>INDEX($R81:$AU95,$D81,10+VLOOKUP($B81,$B$351:$E$368,4,FALSE))</f>
        <v>12.83</v>
      </c>
      <c r="L81" s="203">
        <f>INDEX($R81:$AU95,$D81,13+VLOOKUP($B81,$B$351:$E$368,4,FALSE))</f>
        <v>9.9000000000000008E-3</v>
      </c>
      <c r="M81" s="203">
        <f>INDEX($R81:$AU95,$D81,14+VLOOKUP($B81,$B$351:$E$368,4,FALSE))</f>
        <v>15.09</v>
      </c>
      <c r="O81" s="210">
        <v>-40</v>
      </c>
      <c r="P81" s="211">
        <v>27.7321212121212</v>
      </c>
      <c r="Q81" s="212">
        <v>33.219393939394003</v>
      </c>
      <c r="R81" s="203">
        <f>ROUND((Q81-P81)/(Q80-P80),4)</f>
        <v>0.01</v>
      </c>
      <c r="S81" s="217">
        <f>ROUND(P81-P80*R81,2)</f>
        <v>11.73</v>
      </c>
      <c r="T81" s="211">
        <v>30.7224242424242</v>
      </c>
      <c r="U81" s="212">
        <v>36.719393939394003</v>
      </c>
      <c r="V81" s="203">
        <f>ROUND((U81-T81)/(U80-T80),4)</f>
        <v>1.09E-2</v>
      </c>
      <c r="W81" s="217">
        <f>ROUND(T81-T80*V81,2)</f>
        <v>13.28</v>
      </c>
      <c r="X81" s="211">
        <v>30.984848484848499</v>
      </c>
      <c r="Y81" s="212">
        <v>37.036969696969699</v>
      </c>
      <c r="Z81" s="203">
        <f>ROUND((Y81-X81)/(Y80-X80),4)</f>
        <v>1.0999999999999999E-2</v>
      </c>
      <c r="AA81" s="217">
        <f>ROUND(X81-X80*Z81,2)</f>
        <v>13.38</v>
      </c>
      <c r="AB81" s="211">
        <v>32.337575757575799</v>
      </c>
      <c r="AC81" s="212">
        <v>38.023030303030303</v>
      </c>
      <c r="AD81" s="203">
        <f>ROUND((AC81-AB81)/(AC80-AB80),4)</f>
        <v>1.03E-2</v>
      </c>
      <c r="AE81" s="217">
        <f>ROUND(AB81-AB80*AD81,2)</f>
        <v>15.86</v>
      </c>
      <c r="AF81" s="211">
        <v>37.350303030303103</v>
      </c>
      <c r="AG81" s="212">
        <v>45.460606060605997</v>
      </c>
      <c r="AH81" s="203">
        <f>ROUND((AG81-AF81)/(AG80-AF80),4)</f>
        <v>1.47E-2</v>
      </c>
      <c r="AI81" s="217">
        <f>ROUND(AF81-AF80*AH81,2)</f>
        <v>13.83</v>
      </c>
      <c r="AJ81" s="211">
        <v>41.044242424242398</v>
      </c>
      <c r="AK81" s="212">
        <v>50.002424242424198</v>
      </c>
      <c r="AL81" s="203">
        <f>ROUND((AK81-AJ81)/(AK80-AJ80),4)</f>
        <v>1.6299999999999999E-2</v>
      </c>
      <c r="AM81" s="217">
        <f>ROUND(AJ81-AJ80*AL81,2)</f>
        <v>14.96</v>
      </c>
      <c r="AN81" s="211">
        <v>41.725454545454497</v>
      </c>
      <c r="AO81" s="212">
        <v>50.879393939393999</v>
      </c>
      <c r="AP81" s="203">
        <f>ROUND((AO81-AN81)/(AO80-AN80),4)</f>
        <v>1.66E-2</v>
      </c>
      <c r="AQ81" s="217">
        <f>ROUND(AN81-AN80*AP81,2)</f>
        <v>15.17</v>
      </c>
      <c r="AR81" s="211">
        <v>43.765454545454503</v>
      </c>
      <c r="AS81" s="212">
        <v>52.922424242424199</v>
      </c>
      <c r="AT81" s="203">
        <f>ROUND((AS81-AR81)/(AS80-AR80),4)</f>
        <v>1.66E-2</v>
      </c>
      <c r="AU81" s="217">
        <f>ROUND(AR81-AR80*AT81,2)</f>
        <v>17.21</v>
      </c>
    </row>
    <row r="82" spans="1:47">
      <c r="A82" t="s">
        <v>251</v>
      </c>
      <c r="B82" s="163" t="e">
        <f>Задача_НагревательТеплоноситель</f>
        <v>#REF!</v>
      </c>
      <c r="D82" s="133">
        <v>3</v>
      </c>
      <c r="E82" s="133">
        <v>-30</v>
      </c>
      <c r="F82" s="203">
        <f>INDEX($R81:$AU95,$D82,1+VLOOKUP($B81,$B$351:$E$368,4,FALSE))</f>
        <v>8.8999999999999999E-3</v>
      </c>
      <c r="G82" s="203">
        <f>INDEX($R81:$AU95,$D82,2+VLOOKUP($B81,$B$351:$E$368,4,FALSE))</f>
        <v>10.86</v>
      </c>
      <c r="H82" s="203">
        <f>INDEX($R81:$AU95,$D82,5+VLOOKUP($B81,$B$351:$E$368,4,FALSE))</f>
        <v>0.01</v>
      </c>
      <c r="I82" s="203">
        <f>INDEX($R81:$AU95,$D82,6+VLOOKUP($B81,$B$351:$E$368,4,FALSE))</f>
        <v>12</v>
      </c>
      <c r="J82" s="203">
        <f>INDEX($R81:$AU95,$D82,9+VLOOKUP($B81,$B$351:$E$368,4,FALSE))</f>
        <v>0.01</v>
      </c>
      <c r="K82" s="203">
        <f>INDEX($R81:$AU95,$D82,10+VLOOKUP($B81,$B$351:$E$368,4,FALSE))</f>
        <v>12.3</v>
      </c>
      <c r="L82" s="203">
        <f>INDEX($R81:$AU95,$D82,13+VLOOKUP($B81,$B$351:$E$368,4,FALSE))</f>
        <v>1.0200000000000001E-2</v>
      </c>
      <c r="M82" s="203">
        <f>INDEX($R81:$AU95,$D82,14+VLOOKUP($B81,$B$351:$E$368,4,FALSE))</f>
        <v>12.88</v>
      </c>
      <c r="O82" s="215">
        <v>-35</v>
      </c>
      <c r="P82" s="211">
        <v>26.393333333333299</v>
      </c>
      <c r="Q82" s="212">
        <v>31.593333333333401</v>
      </c>
      <c r="R82" s="203">
        <f>ROUND((Q82-P82)/(Q80-P80),4)</f>
        <v>9.4999999999999998E-3</v>
      </c>
      <c r="S82" s="217">
        <f>ROUND(P82-P80*R82,2)</f>
        <v>11.19</v>
      </c>
      <c r="T82" s="211">
        <v>29.366666666666699</v>
      </c>
      <c r="U82" s="212">
        <v>35.093333333333398</v>
      </c>
      <c r="V82" s="203">
        <f>ROUND((U82-T82)/(U80-T80),4)</f>
        <v>1.04E-2</v>
      </c>
      <c r="W82" s="217">
        <f>ROUND(T82-T80*V82,2)</f>
        <v>12.73</v>
      </c>
      <c r="X82" s="211">
        <v>29.633333333333301</v>
      </c>
      <c r="Y82" s="212">
        <v>35.406666666666702</v>
      </c>
      <c r="Z82" s="203">
        <f>ROUND((Y82-X82)/(Y80-X80),4)</f>
        <v>1.0500000000000001E-2</v>
      </c>
      <c r="AA82" s="217">
        <f>ROUND(X82-X80*Z82,2)</f>
        <v>12.83</v>
      </c>
      <c r="AB82" s="211">
        <v>30.933333333333302</v>
      </c>
      <c r="AC82" s="212">
        <v>36.393333333333302</v>
      </c>
      <c r="AD82" s="203">
        <f>ROUND((AC82-AB82)/(AC80-AB80),4)</f>
        <v>9.9000000000000008E-3</v>
      </c>
      <c r="AE82" s="217">
        <f>ROUND(AB82-AB80*AD82,2)</f>
        <v>15.09</v>
      </c>
      <c r="AF82" s="211">
        <v>35.593333333333398</v>
      </c>
      <c r="AG82" s="212">
        <v>43.306666666666601</v>
      </c>
      <c r="AH82" s="203">
        <f>ROUND((AG82-AF82)/(AG80-AF80),4)</f>
        <v>1.4E-2</v>
      </c>
      <c r="AI82" s="217">
        <f>ROUND(AF82-AF80*AH82,2)</f>
        <v>13.19</v>
      </c>
      <c r="AJ82" s="211">
        <v>39.286666666666697</v>
      </c>
      <c r="AK82" s="212">
        <v>47.8466666666666</v>
      </c>
      <c r="AL82" s="203">
        <f>ROUND((AK82-AJ82)/(AK80-AJ80),4)</f>
        <v>1.5599999999999999E-2</v>
      </c>
      <c r="AM82" s="217">
        <f>ROUND(AJ82-AJ80*AL82,2)</f>
        <v>14.33</v>
      </c>
      <c r="AN82" s="211">
        <v>39.96</v>
      </c>
      <c r="AO82" s="212">
        <v>48.713333333333402</v>
      </c>
      <c r="AP82" s="203">
        <f>ROUND((AO82-AN82)/(AO80-AN80),4)</f>
        <v>1.5900000000000001E-2</v>
      </c>
      <c r="AQ82" s="217">
        <f>ROUND(AN82-AN80*AP82,2)</f>
        <v>14.52</v>
      </c>
      <c r="AR82" s="211">
        <v>41.98</v>
      </c>
      <c r="AS82" s="212">
        <v>50.746666666666698</v>
      </c>
      <c r="AT82" s="203">
        <f>ROUND((AS82-AR82)/(AS80-AR80),4)</f>
        <v>1.5900000000000001E-2</v>
      </c>
      <c r="AU82" s="217">
        <f>ROUND(AR82-AR80*AT82,2)</f>
        <v>16.54</v>
      </c>
    </row>
    <row r="83" spans="1:47">
      <c r="A83" t="s">
        <v>253</v>
      </c>
      <c r="B83" s="163" t="e">
        <f>VLOOKUP("500x300",ПП_Расчет!C$10:F$19,4,0)</f>
        <v>#REF!</v>
      </c>
      <c r="D83" s="133">
        <v>4</v>
      </c>
      <c r="E83" s="133">
        <v>-25</v>
      </c>
      <c r="F83" s="203">
        <f>INDEX($R81:$AU95,$D83,1+VLOOKUP($B81,$B$351:$E$368,4,FALSE))</f>
        <v>8.3999999999999995E-3</v>
      </c>
      <c r="G83" s="203">
        <f>INDEX($R81:$AU95,$D83,2+VLOOKUP($B81,$B$351:$E$368,4,FALSE))</f>
        <v>10.26</v>
      </c>
      <c r="H83" s="203">
        <f>INDEX($R81:$AU95,$D83,5+VLOOKUP($B81,$B$351:$E$368,4,FALSE))</f>
        <v>9.2999999999999992E-3</v>
      </c>
      <c r="I83" s="203">
        <f>INDEX($R81:$AU95,$D83,6+VLOOKUP($B81,$B$351:$E$368,4,FALSE))</f>
        <v>11.82</v>
      </c>
      <c r="J83" s="203">
        <f>INDEX($R81:$AU95,$D83,9+VLOOKUP($B81,$B$351:$E$368,4,FALSE))</f>
        <v>9.4999999999999998E-3</v>
      </c>
      <c r="K83" s="203">
        <f>INDEX($R81:$AU95,$D83,10+VLOOKUP($B81,$B$351:$E$368,4,FALSE))</f>
        <v>11.7</v>
      </c>
      <c r="L83" s="203">
        <f>INDEX($R81:$AU95,$D83,13+VLOOKUP($B81,$B$351:$E$368,4,FALSE))</f>
        <v>7.6E-3</v>
      </c>
      <c r="M83" s="203">
        <f>INDEX($R81:$AU95,$D83,14+VLOOKUP($B81,$B$351:$E$368,4,FALSE))</f>
        <v>16.739999999999998</v>
      </c>
      <c r="O83" s="215">
        <v>-30</v>
      </c>
      <c r="P83" s="211">
        <v>25.1</v>
      </c>
      <c r="Q83" s="212">
        <v>30</v>
      </c>
      <c r="R83" s="203">
        <f>ROUND((Q83-P83)/(Q80-P80),4)</f>
        <v>8.8999999999999999E-3</v>
      </c>
      <c r="S83" s="217">
        <f>ROUND(P83-P80*R83,2)</f>
        <v>10.86</v>
      </c>
      <c r="T83" s="211">
        <v>28</v>
      </c>
      <c r="U83" s="212">
        <v>33.5</v>
      </c>
      <c r="V83" s="203">
        <f>ROUND((U83-T83)/(U80-T80),4)</f>
        <v>0.01</v>
      </c>
      <c r="W83" s="217">
        <f>ROUND(T83-T80*V83,2)</f>
        <v>12</v>
      </c>
      <c r="X83" s="211">
        <v>28.3</v>
      </c>
      <c r="Y83" s="212">
        <v>33.799999999999997</v>
      </c>
      <c r="Z83" s="203">
        <f>ROUND((Y83-X83)/(Y80-X80),4)</f>
        <v>0.01</v>
      </c>
      <c r="AA83" s="217">
        <f>ROUND(X83-X80*Z83,2)</f>
        <v>12.3</v>
      </c>
      <c r="AB83" s="211">
        <v>29.2</v>
      </c>
      <c r="AC83" s="212">
        <v>34.799999999999997</v>
      </c>
      <c r="AD83" s="203">
        <f>ROUND((AC83-AB83)/(AC80-AB80),4)</f>
        <v>1.0200000000000001E-2</v>
      </c>
      <c r="AE83" s="217">
        <f>ROUND(AB83-AB80*AD83,2)</f>
        <v>12.88</v>
      </c>
      <c r="AF83" s="211">
        <v>33.799999999999997</v>
      </c>
      <c r="AG83" s="212">
        <v>41.2</v>
      </c>
      <c r="AH83" s="203">
        <f>ROUND((AG83-AF83)/(AG80-AF80),4)</f>
        <v>1.35E-2</v>
      </c>
      <c r="AI83" s="217">
        <f>ROUND(AF83-AF80*AH83,2)</f>
        <v>12.2</v>
      </c>
      <c r="AJ83" s="211">
        <v>37.5</v>
      </c>
      <c r="AK83" s="212">
        <v>45.7</v>
      </c>
      <c r="AL83" s="203">
        <f>ROUND((AK83-AJ83)/(AK80-AJ80),4)</f>
        <v>1.49E-2</v>
      </c>
      <c r="AM83" s="217">
        <f>ROUND(AJ83-AJ80*AL83,2)</f>
        <v>13.66</v>
      </c>
      <c r="AN83" s="211">
        <v>38.200000000000003</v>
      </c>
      <c r="AO83" s="212">
        <v>46.4</v>
      </c>
      <c r="AP83" s="203">
        <f>ROUND((AO83-AN83)/(AO80-AN80),4)</f>
        <v>1.49E-2</v>
      </c>
      <c r="AQ83" s="217">
        <f>ROUND(AN83-AN80*AP83,2)</f>
        <v>14.36</v>
      </c>
      <c r="AR83" s="211">
        <v>40.200000000000003</v>
      </c>
      <c r="AS83" s="212">
        <v>48.6</v>
      </c>
      <c r="AT83" s="203">
        <f>ROUND((AS83-AR83)/(AS80-AR80),4)</f>
        <v>1.5299999999999999E-2</v>
      </c>
      <c r="AU83" s="217">
        <f>ROUND(AR83-AR80*AT83,2)</f>
        <v>15.72</v>
      </c>
    </row>
    <row r="84" spans="1:47">
      <c r="D84" s="133">
        <v>5</v>
      </c>
      <c r="E84" s="133">
        <v>-20</v>
      </c>
      <c r="F84" s="203">
        <f>INDEX($R81:$AU95,$D84,1+VLOOKUP($B81,$B$351:$E$368,4,FALSE))</f>
        <v>7.7999999999999996E-3</v>
      </c>
      <c r="G84" s="203">
        <f>INDEX($R81:$AU95,$D84,2+VLOOKUP($B81,$B$351:$E$368,4,FALSE))</f>
        <v>9.92</v>
      </c>
      <c r="H84" s="203">
        <f>INDEX($R81:$AU95,$D84,5+VLOOKUP($B81,$B$351:$E$368,4,FALSE))</f>
        <v>8.8999999999999999E-3</v>
      </c>
      <c r="I84" s="203">
        <f>INDEX($R81:$AU95,$D84,6+VLOOKUP($B81,$B$351:$E$368,4,FALSE))</f>
        <v>11.06</v>
      </c>
      <c r="J84" s="203">
        <f>INDEX($R81:$AU95,$D84,9+VLOOKUP($B81,$B$351:$E$368,4,FALSE))</f>
        <v>8.8999999999999999E-3</v>
      </c>
      <c r="K84" s="203">
        <f>INDEX($R81:$AU95,$D84,10+VLOOKUP($B81,$B$351:$E$368,4,FALSE))</f>
        <v>11.36</v>
      </c>
      <c r="L84" s="203">
        <f>INDEX($R81:$AU95,$D84,13+VLOOKUP($B81,$B$351:$E$368,4,FALSE))</f>
        <v>9.1000000000000004E-3</v>
      </c>
      <c r="M84" s="203">
        <f>INDEX($R81:$AU95,$D84,14+VLOOKUP($B81,$B$351:$E$368,4,FALSE))</f>
        <v>11.94</v>
      </c>
      <c r="O84" s="215">
        <v>-25</v>
      </c>
      <c r="P84" s="211">
        <v>23.7</v>
      </c>
      <c r="Q84" s="212">
        <v>28.3</v>
      </c>
      <c r="R84" s="203">
        <f>ROUND((Q84-P84)/(Q80-P80),4)</f>
        <v>8.3999999999999995E-3</v>
      </c>
      <c r="S84" s="217">
        <f>ROUND(P84-P80*R84,2)</f>
        <v>10.26</v>
      </c>
      <c r="T84" s="211">
        <v>26.7</v>
      </c>
      <c r="U84" s="212">
        <v>31.8</v>
      </c>
      <c r="V84" s="203">
        <f>ROUND((U84-T84)/(U80-T80),4)</f>
        <v>9.2999999999999992E-3</v>
      </c>
      <c r="W84" s="217">
        <f>ROUND(T84-T80*V84,2)</f>
        <v>11.82</v>
      </c>
      <c r="X84" s="211">
        <v>26.9</v>
      </c>
      <c r="Y84" s="212">
        <v>32.1</v>
      </c>
      <c r="Z84" s="203">
        <f>ROUND((Y84-X84)/(Y80-X80),4)</f>
        <v>9.4999999999999998E-3</v>
      </c>
      <c r="AA84" s="217">
        <f>ROUND(X84-X80*Z84,2)</f>
        <v>11.7</v>
      </c>
      <c r="AB84" s="211">
        <v>28.9</v>
      </c>
      <c r="AC84" s="212">
        <v>33.1</v>
      </c>
      <c r="AD84" s="203">
        <f>ROUND((AC84-AB84)/(AC80-AB80),4)</f>
        <v>7.6E-3</v>
      </c>
      <c r="AE84" s="217">
        <f>ROUND(AB84-AB80*AD84,2)</f>
        <v>16.739999999999998</v>
      </c>
      <c r="AF84" s="211">
        <v>32.1</v>
      </c>
      <c r="AG84" s="212">
        <v>39</v>
      </c>
      <c r="AH84" s="203">
        <f>ROUND((AG84-AF84)/(AG80-AF80),4)</f>
        <v>1.2500000000000001E-2</v>
      </c>
      <c r="AI84" s="217">
        <f>ROUND(AF84-AF80*AH84,2)</f>
        <v>12.1</v>
      </c>
      <c r="AJ84" s="211">
        <v>35.799999999999997</v>
      </c>
      <c r="AK84" s="212">
        <v>43.5</v>
      </c>
      <c r="AL84" s="203">
        <f>ROUND((AK84-AJ84)/(AK80-AJ80),4)</f>
        <v>1.4E-2</v>
      </c>
      <c r="AM84" s="217">
        <f>ROUND(AJ84-AJ80*AL84,2)</f>
        <v>13.4</v>
      </c>
      <c r="AN84" s="211">
        <v>36.4</v>
      </c>
      <c r="AO84" s="212">
        <v>44.3</v>
      </c>
      <c r="AP84" s="203">
        <f>ROUND((AO84-AN84)/(AO80-AN80),4)</f>
        <v>1.44E-2</v>
      </c>
      <c r="AQ84" s="217">
        <f>ROUND(AN84-AN80*AP84,2)</f>
        <v>13.36</v>
      </c>
      <c r="AR84" s="211">
        <v>38.4</v>
      </c>
      <c r="AS84" s="212">
        <v>46.5</v>
      </c>
      <c r="AT84" s="203">
        <f>ROUND((AS84-AR84)/(AS80-AR80),4)</f>
        <v>1.47E-2</v>
      </c>
      <c r="AU84" s="217">
        <f>ROUND(AR84-AR80*AT84,2)</f>
        <v>14.88</v>
      </c>
    </row>
    <row r="85" spans="1:47">
      <c r="A85" t="s">
        <v>66</v>
      </c>
      <c r="B85" s="163" t="e">
        <f>VLOOKUP(B83,E80:M94,VLOOKUP(B82,B$345:D$348,2,FALSE))</f>
        <v>#REF!</v>
      </c>
      <c r="D85" s="133">
        <v>6</v>
      </c>
      <c r="E85" s="133">
        <v>-15</v>
      </c>
      <c r="F85" s="203">
        <f>INDEX($R81:$AU95,$D85,1+VLOOKUP($B81,$B$351:$E$368,4,FALSE))</f>
        <v>7.4999999999999997E-3</v>
      </c>
      <c r="G85" s="203">
        <f>INDEX($R81:$AU95,$D85,2+VLOOKUP($B81,$B$351:$E$368,4,FALSE))</f>
        <v>9</v>
      </c>
      <c r="H85" s="203">
        <f>INDEX($R81:$AU95,$D85,5+VLOOKUP($B81,$B$351:$E$368,4,FALSE))</f>
        <v>8.5000000000000006E-3</v>
      </c>
      <c r="I85" s="203">
        <f>INDEX($R81:$AU95,$D85,6+VLOOKUP($B81,$B$351:$E$368,4,FALSE))</f>
        <v>10.3</v>
      </c>
      <c r="J85" s="203">
        <f>INDEX($R81:$AU95,$D85,9+VLOOKUP($B81,$B$351:$E$368,4,FALSE))</f>
        <v>8.5000000000000006E-3</v>
      </c>
      <c r="K85" s="203">
        <f>INDEX($R81:$AU95,$D85,10+VLOOKUP($B81,$B$351:$E$368,4,FALSE))</f>
        <v>10.6</v>
      </c>
      <c r="L85" s="203">
        <f>INDEX($R81:$AU95,$D85,13+VLOOKUP($B81,$B$351:$E$368,4,FALSE))</f>
        <v>8.5000000000000006E-3</v>
      </c>
      <c r="M85" s="203">
        <f>INDEX($R81:$AU95,$D85,14+VLOOKUP($B81,$B$351:$E$368,4,FALSE))</f>
        <v>11.6</v>
      </c>
      <c r="O85" s="215">
        <v>-20</v>
      </c>
      <c r="P85" s="211">
        <v>22.4</v>
      </c>
      <c r="Q85" s="212">
        <v>26.7</v>
      </c>
      <c r="R85" s="203">
        <f>ROUND((Q85-P85)/(Q80-P80),4)</f>
        <v>7.7999999999999996E-3</v>
      </c>
      <c r="S85" s="217">
        <f>ROUND(P85-P80*R85,2)</f>
        <v>9.92</v>
      </c>
      <c r="T85" s="211">
        <v>25.3</v>
      </c>
      <c r="U85" s="212">
        <v>30.2</v>
      </c>
      <c r="V85" s="203">
        <f>ROUND((U85-T85)/(U80-T80),4)</f>
        <v>8.8999999999999999E-3</v>
      </c>
      <c r="W85" s="217">
        <f>ROUND(T85-T80*V85,2)</f>
        <v>11.06</v>
      </c>
      <c r="X85" s="211">
        <v>25.6</v>
      </c>
      <c r="Y85" s="212">
        <v>30.5</v>
      </c>
      <c r="Z85" s="203">
        <f>ROUND((Y85-X85)/(Y80-X80),4)</f>
        <v>8.8999999999999999E-3</v>
      </c>
      <c r="AA85" s="217">
        <f>ROUND(X85-X80*Z85,2)</f>
        <v>11.36</v>
      </c>
      <c r="AB85" s="211">
        <v>26.5</v>
      </c>
      <c r="AC85" s="212">
        <v>31.5</v>
      </c>
      <c r="AD85" s="203">
        <f>ROUND((AC85-AB85)/(AC80-AB80),4)</f>
        <v>9.1000000000000004E-3</v>
      </c>
      <c r="AE85" s="217">
        <f>ROUND(AB85-AB80*AD85,2)</f>
        <v>11.94</v>
      </c>
      <c r="AF85" s="211">
        <v>30.3</v>
      </c>
      <c r="AG85" s="212">
        <v>36.799999999999997</v>
      </c>
      <c r="AH85" s="203">
        <f>ROUND((AG85-AF85)/(AG80-AF80),4)</f>
        <v>1.18E-2</v>
      </c>
      <c r="AI85" s="217">
        <f>ROUND(AF85-AF80*AH85,2)</f>
        <v>11.42</v>
      </c>
      <c r="AJ85" s="211">
        <v>34</v>
      </c>
      <c r="AK85" s="212">
        <v>41.4</v>
      </c>
      <c r="AL85" s="203">
        <f>ROUND((AK85-AJ85)/(AK80-AJ80),4)</f>
        <v>1.35E-2</v>
      </c>
      <c r="AM85" s="217">
        <f>ROUND(AJ85-AJ80*AL85,2)</f>
        <v>12.4</v>
      </c>
      <c r="AN85" s="211">
        <v>34.700000000000003</v>
      </c>
      <c r="AO85" s="212">
        <v>42.1</v>
      </c>
      <c r="AP85" s="203">
        <f>ROUND((AO85-AN85)/(AO80-AN80),4)</f>
        <v>1.35E-2</v>
      </c>
      <c r="AQ85" s="217">
        <f>ROUND(AN85-AN80*AP85,2)</f>
        <v>13.1</v>
      </c>
      <c r="AR85" s="211">
        <v>36.6</v>
      </c>
      <c r="AS85" s="212">
        <v>44.3</v>
      </c>
      <c r="AT85" s="203">
        <f>ROUND((AS85-AR85)/(AS80-AR80),4)</f>
        <v>1.4E-2</v>
      </c>
      <c r="AU85" s="217">
        <f>ROUND(AR85-AR80*AT85,2)</f>
        <v>14.2</v>
      </c>
    </row>
    <row r="86" spans="1:47">
      <c r="A86" t="s">
        <v>249</v>
      </c>
      <c r="B86" s="163" t="e">
        <f>VLOOKUP(B83,E80:M94,VLOOKUP(B82,B$345:D$348,3,FALSE))</f>
        <v>#REF!</v>
      </c>
      <c r="D86" s="133">
        <v>7</v>
      </c>
      <c r="E86" s="133">
        <v>-10</v>
      </c>
      <c r="F86" s="203">
        <f>INDEX($R81:$AU95,$D86,1+VLOOKUP($B81,$B$351:$E$368,4,FALSE))</f>
        <v>6.8999999999999999E-3</v>
      </c>
      <c r="G86" s="203">
        <f>INDEX($R81:$AU95,$D86,2+VLOOKUP($B81,$B$351:$E$368,4,FALSE))</f>
        <v>8.66</v>
      </c>
      <c r="H86" s="203">
        <f>INDEX($R81:$AU95,$D86,5+VLOOKUP($B81,$B$351:$E$368,4,FALSE))</f>
        <v>8.0000000000000002E-3</v>
      </c>
      <c r="I86" s="203">
        <f>INDEX($R81:$AU95,$D86,6+VLOOKUP($B81,$B$351:$E$368,4,FALSE))</f>
        <v>9.8000000000000007</v>
      </c>
      <c r="J86" s="203">
        <f>INDEX($R81:$AU95,$D86,9+VLOOKUP($B81,$B$351:$E$368,4,FALSE))</f>
        <v>8.0000000000000002E-3</v>
      </c>
      <c r="K86" s="203">
        <f>INDEX($R81:$AU95,$D86,10+VLOOKUP($B81,$B$351:$E$368,4,FALSE))</f>
        <v>10.1</v>
      </c>
      <c r="L86" s="203">
        <f>INDEX($R81:$AU95,$D86,13+VLOOKUP($B81,$B$351:$E$368,4,FALSE))</f>
        <v>8.0000000000000002E-3</v>
      </c>
      <c r="M86" s="203">
        <f>INDEX($R81:$AU95,$D86,14+VLOOKUP($B81,$B$351:$E$368,4,FALSE))</f>
        <v>11</v>
      </c>
      <c r="O86" s="215">
        <v>-15</v>
      </c>
      <c r="P86" s="211">
        <v>21</v>
      </c>
      <c r="Q86" s="212">
        <v>25.1</v>
      </c>
      <c r="R86" s="203">
        <f>ROUND((Q86-P86)/(Q80-P80),4)</f>
        <v>7.4999999999999997E-3</v>
      </c>
      <c r="S86" s="217">
        <f>ROUND(P86-P80*R86,2)</f>
        <v>9</v>
      </c>
      <c r="T86" s="211">
        <v>23.9</v>
      </c>
      <c r="U86" s="212">
        <v>28.6</v>
      </c>
      <c r="V86" s="203">
        <f>ROUND((U86-T86)/(U80-T80),4)</f>
        <v>8.5000000000000006E-3</v>
      </c>
      <c r="W86" s="217">
        <f>ROUND(T86-T80*V86,2)</f>
        <v>10.3</v>
      </c>
      <c r="X86" s="211">
        <v>24.2</v>
      </c>
      <c r="Y86" s="212">
        <v>28.9</v>
      </c>
      <c r="Z86" s="203">
        <f>ROUND((Y86-X86)/(Y80-X80),4)</f>
        <v>8.5000000000000006E-3</v>
      </c>
      <c r="AA86" s="217">
        <f>ROUND(X86-X80*Z86,2)</f>
        <v>10.6</v>
      </c>
      <c r="AB86" s="211">
        <v>25.2</v>
      </c>
      <c r="AC86" s="212">
        <v>29.9</v>
      </c>
      <c r="AD86" s="203">
        <f>ROUND((AC86-AB86)/(AC80-AB80),4)</f>
        <v>8.5000000000000006E-3</v>
      </c>
      <c r="AE86" s="217">
        <f>ROUND(AB86-AB80*AD86,2)</f>
        <v>11.6</v>
      </c>
      <c r="AF86" s="211">
        <v>28.6</v>
      </c>
      <c r="AG86" s="212">
        <v>34.700000000000003</v>
      </c>
      <c r="AH86" s="203">
        <f>ROUND((AG86-AF86)/(AG80-AF80),4)</f>
        <v>1.11E-2</v>
      </c>
      <c r="AI86" s="217">
        <f>ROUND(AF86-AF80*AH86,2)</f>
        <v>10.84</v>
      </c>
      <c r="AJ86" s="211">
        <v>32.299999999999997</v>
      </c>
      <c r="AK86" s="212">
        <v>39.200000000000003</v>
      </c>
      <c r="AL86" s="203">
        <f>ROUND((AK86-AJ86)/(AK80-AJ80),4)</f>
        <v>1.2500000000000001E-2</v>
      </c>
      <c r="AM86" s="217">
        <f>ROUND(AJ86-AJ80*AL86,2)</f>
        <v>12.3</v>
      </c>
      <c r="AN86" s="211">
        <v>32.9</v>
      </c>
      <c r="AO86" s="212">
        <v>39.9</v>
      </c>
      <c r="AP86" s="203">
        <f>ROUND((AO86-AN86)/(AO80-AN80),4)</f>
        <v>1.2699999999999999E-2</v>
      </c>
      <c r="AQ86" s="217">
        <f>ROUND(AN86-AN80*AP86,2)</f>
        <v>12.58</v>
      </c>
      <c r="AR86" s="211">
        <v>34.799999999999997</v>
      </c>
      <c r="AS86" s="212">
        <v>42.1</v>
      </c>
      <c r="AT86" s="203">
        <f>ROUND((AS86-AR86)/(AS80-AR80),4)</f>
        <v>1.3299999999999999E-2</v>
      </c>
      <c r="AU86" s="217">
        <f>ROUND(AR86-AR80*AT86,2)</f>
        <v>13.52</v>
      </c>
    </row>
    <row r="87" spans="1:47">
      <c r="D87" s="133">
        <v>8</v>
      </c>
      <c r="E87" s="133">
        <v>-5</v>
      </c>
      <c r="F87" s="203">
        <f>INDEX($R81:$AU95,$D87,1+VLOOKUP($B81,$B$351:$E$368,4,FALSE))</f>
        <v>6.4000000000000003E-3</v>
      </c>
      <c r="G87" s="203">
        <f>INDEX($R81:$AU95,$D87,2+VLOOKUP($B81,$B$351:$E$368,4,FALSE))</f>
        <v>8.06</v>
      </c>
      <c r="H87" s="203">
        <f>INDEX($R81:$AU95,$D87,5+VLOOKUP($B81,$B$351:$E$368,4,FALSE))</f>
        <v>7.4999999999999997E-3</v>
      </c>
      <c r="I87" s="203">
        <f>INDEX($R81:$AU95,$D87,6+VLOOKUP($B81,$B$351:$E$368,4,FALSE))</f>
        <v>9.1999999999999993</v>
      </c>
      <c r="J87" s="203">
        <f>INDEX($R81:$AU95,$D87,9+VLOOKUP($B81,$B$351:$E$368,4,FALSE))</f>
        <v>7.4999999999999997E-3</v>
      </c>
      <c r="K87" s="203">
        <f>INDEX($R81:$AU95,$D87,10+VLOOKUP($B81,$B$351:$E$368,4,FALSE))</f>
        <v>9.5</v>
      </c>
      <c r="L87" s="203">
        <f>INDEX($R81:$AU95,$D87,13+VLOOKUP($B81,$B$351:$E$368,4,FALSE))</f>
        <v>7.6E-3</v>
      </c>
      <c r="M87" s="203">
        <f>INDEX($R81:$AU95,$D87,14+VLOOKUP($B81,$B$351:$E$368,4,FALSE))</f>
        <v>10.24</v>
      </c>
      <c r="O87" s="215">
        <v>-10</v>
      </c>
      <c r="P87" s="211">
        <v>19.7</v>
      </c>
      <c r="Q87" s="212">
        <v>23.5</v>
      </c>
      <c r="R87" s="203">
        <f>ROUND((Q87-P87)/(Q80-P80),4)</f>
        <v>6.8999999999999999E-3</v>
      </c>
      <c r="S87" s="217">
        <f>ROUND(P87-P80*R87,2)</f>
        <v>8.66</v>
      </c>
      <c r="T87" s="211">
        <v>22.6</v>
      </c>
      <c r="U87" s="212">
        <v>27</v>
      </c>
      <c r="V87" s="203">
        <f>ROUND((U87-T87)/(U80-T80),4)</f>
        <v>8.0000000000000002E-3</v>
      </c>
      <c r="W87" s="217">
        <f>ROUND(T87-T80*V87,2)</f>
        <v>9.8000000000000007</v>
      </c>
      <c r="X87" s="211">
        <v>22.9</v>
      </c>
      <c r="Y87" s="212">
        <v>27.3</v>
      </c>
      <c r="Z87" s="203">
        <f>ROUND((Y87-X87)/(Y80-X80),4)</f>
        <v>8.0000000000000002E-3</v>
      </c>
      <c r="AA87" s="217">
        <f>ROUND(X87-X80*Z87,2)</f>
        <v>10.1</v>
      </c>
      <c r="AB87" s="211">
        <v>23.8</v>
      </c>
      <c r="AC87" s="212">
        <v>28.2</v>
      </c>
      <c r="AD87" s="203">
        <f>ROUND((AC87-AB87)/(AC80-AB80),4)</f>
        <v>8.0000000000000002E-3</v>
      </c>
      <c r="AE87" s="217">
        <f>ROUND(AB87-AB80*AD87,2)</f>
        <v>11</v>
      </c>
      <c r="AF87" s="211">
        <v>26.8</v>
      </c>
      <c r="AG87" s="212">
        <v>32.5</v>
      </c>
      <c r="AH87" s="203">
        <f>ROUND((AG87-AF87)/(AG80-AF80),4)</f>
        <v>1.04E-2</v>
      </c>
      <c r="AI87" s="217">
        <f>ROUND(AF87-AF80*AH87,2)</f>
        <v>10.16</v>
      </c>
      <c r="AJ87" s="211">
        <v>30.5</v>
      </c>
      <c r="AK87" s="212">
        <v>37.1</v>
      </c>
      <c r="AL87" s="203">
        <f>ROUND((AK87-AJ87)/(AK80-AJ80),4)</f>
        <v>1.2E-2</v>
      </c>
      <c r="AM87" s="217">
        <f>ROUND(AJ87-AJ80*AL87,2)</f>
        <v>11.3</v>
      </c>
      <c r="AN87" s="211">
        <v>31.1</v>
      </c>
      <c r="AO87" s="212">
        <v>38.799999999999997</v>
      </c>
      <c r="AP87" s="203">
        <f>ROUND((AO87-AN87)/(AO80-AN80),4)</f>
        <v>1.4E-2</v>
      </c>
      <c r="AQ87" s="217">
        <f>ROUND(AN87-AN80*AP87,2)</f>
        <v>8.6999999999999993</v>
      </c>
      <c r="AR87" s="211">
        <v>33.1</v>
      </c>
      <c r="AS87" s="212">
        <v>39.299999999999997</v>
      </c>
      <c r="AT87" s="203">
        <f>ROUND((AS87-AR87)/(AS80-AR80),4)</f>
        <v>1.1299999999999999E-2</v>
      </c>
      <c r="AU87" s="217">
        <f>ROUND(AR87-AR80*AT87,2)</f>
        <v>15.02</v>
      </c>
    </row>
    <row r="88" spans="1:47">
      <c r="A88" t="s">
        <v>254</v>
      </c>
      <c r="B88" s="163" t="e">
        <f>B80*B85+B86</f>
        <v>#REF!</v>
      </c>
      <c r="D88" s="133">
        <v>9</v>
      </c>
      <c r="E88" s="133">
        <v>0</v>
      </c>
      <c r="F88" s="203">
        <f>INDEX($R81:$AU95,$D88,1+VLOOKUP($B81,$B$351:$E$368,4,FALSE))</f>
        <v>5.7999999999999996E-3</v>
      </c>
      <c r="G88" s="203">
        <f>INDEX($R81:$AU95,$D88,2+VLOOKUP($B81,$B$351:$E$368,4,FALSE))</f>
        <v>7.72</v>
      </c>
      <c r="H88" s="203">
        <f>INDEX($R81:$AU95,$D88,5+VLOOKUP($B81,$B$351:$E$368,4,FALSE))</f>
        <v>6.8999999999999999E-3</v>
      </c>
      <c r="I88" s="203">
        <f>INDEX($R81:$AU95,$D88,6+VLOOKUP($B81,$B$351:$E$368,4,FALSE))</f>
        <v>8.86</v>
      </c>
      <c r="J88" s="203">
        <f>INDEX($R81:$AU95,$D88,9+VLOOKUP($B81,$B$351:$E$368,4,FALSE))</f>
        <v>6.8999999999999999E-3</v>
      </c>
      <c r="K88" s="203">
        <f>INDEX($R81:$AU95,$D88,10+VLOOKUP($B81,$B$351:$E$368,4,FALSE))</f>
        <v>9.16</v>
      </c>
      <c r="L88" s="203">
        <f>INDEX($R81:$AU95,$D88,13+VLOOKUP($B81,$B$351:$E$368,4,FALSE))</f>
        <v>7.1000000000000004E-3</v>
      </c>
      <c r="M88" s="203">
        <f>INDEX($R81:$AU95,$D88,14+VLOOKUP($B81,$B$351:$E$368,4,FALSE))</f>
        <v>9.74</v>
      </c>
      <c r="O88" s="215">
        <v>-5</v>
      </c>
      <c r="P88" s="211">
        <v>18.3</v>
      </c>
      <c r="Q88" s="212">
        <v>21.8</v>
      </c>
      <c r="R88" s="203">
        <f>ROUND((Q88-P88)/(Q80-P80),4)</f>
        <v>6.4000000000000003E-3</v>
      </c>
      <c r="S88" s="217">
        <f>ROUND(P88-P80*R88,2)</f>
        <v>8.06</v>
      </c>
      <c r="T88" s="211">
        <v>21.2</v>
      </c>
      <c r="U88" s="212">
        <v>25.3</v>
      </c>
      <c r="V88" s="203">
        <f>ROUND((U88-T88)/(U80-T80),4)</f>
        <v>7.4999999999999997E-3</v>
      </c>
      <c r="W88" s="217">
        <f>ROUND(T88-T80*V88,2)</f>
        <v>9.1999999999999993</v>
      </c>
      <c r="X88" s="211">
        <v>21.5</v>
      </c>
      <c r="Y88" s="212">
        <v>25.6</v>
      </c>
      <c r="Z88" s="203">
        <f>ROUND((Y88-X88)/(Y80-X80),4)</f>
        <v>7.4999999999999997E-3</v>
      </c>
      <c r="AA88" s="217">
        <f>ROUND(X88-X80*Z88,2)</f>
        <v>9.5</v>
      </c>
      <c r="AB88" s="211">
        <v>22.4</v>
      </c>
      <c r="AC88" s="212">
        <v>26.6</v>
      </c>
      <c r="AD88" s="203">
        <f>ROUND((AC88-AB88)/(AC80-AB80),4)</f>
        <v>7.6E-3</v>
      </c>
      <c r="AE88" s="217">
        <f>ROUND(AB88-AB80*AD88,2)</f>
        <v>10.24</v>
      </c>
      <c r="AF88" s="211">
        <v>25.1</v>
      </c>
      <c r="AG88" s="212">
        <v>30.4</v>
      </c>
      <c r="AH88" s="203">
        <f>ROUND((AG88-AF88)/(AG80-AF80),4)</f>
        <v>9.5999999999999992E-3</v>
      </c>
      <c r="AI88" s="217">
        <f>ROUND(AF88-AF80*AH88,2)</f>
        <v>9.74</v>
      </c>
      <c r="AJ88" s="211">
        <v>28.7</v>
      </c>
      <c r="AK88" s="212">
        <v>34.9</v>
      </c>
      <c r="AL88" s="203">
        <f>ROUND((AK88-AJ88)/(AK80-AJ80),4)</f>
        <v>1.1299999999999999E-2</v>
      </c>
      <c r="AM88" s="217">
        <f>ROUND(AJ88-AJ80*AL88,2)</f>
        <v>10.62</v>
      </c>
      <c r="AN88" s="211">
        <v>29.4</v>
      </c>
      <c r="AO88" s="212">
        <v>35.6</v>
      </c>
      <c r="AP88" s="203">
        <f>ROUND((AO88-AN88)/(AO80-AN80),4)</f>
        <v>1.1299999999999999E-2</v>
      </c>
      <c r="AQ88" s="217">
        <f>ROUND(AN88-AN80*AP88,2)</f>
        <v>11.32</v>
      </c>
      <c r="AR88" s="211">
        <v>31.3</v>
      </c>
      <c r="AS88" s="212">
        <v>37.799999999999997</v>
      </c>
      <c r="AT88" s="203">
        <f>ROUND((AS88-AR88)/(AS80-AR80),4)</f>
        <v>1.18E-2</v>
      </c>
      <c r="AU88" s="217">
        <f>ROUND(AR88-AR80*AT88,2)</f>
        <v>12.42</v>
      </c>
    </row>
    <row r="89" spans="1:47">
      <c r="A89" t="s">
        <v>255</v>
      </c>
      <c r="B89" s="163" t="e">
        <f>ROUND(B88/(0.000335*B80),1)+B83</f>
        <v>#REF!</v>
      </c>
      <c r="D89" s="133">
        <v>10</v>
      </c>
      <c r="E89" s="133">
        <v>5</v>
      </c>
      <c r="F89" s="203">
        <f>INDEX($R81:$AU95,$D89,1+VLOOKUP($B81,$B$351:$E$368,4,FALSE))</f>
        <v>5.4999999999999997E-3</v>
      </c>
      <c r="G89" s="203">
        <f>INDEX($R81:$AU95,$D89,2+VLOOKUP($B81,$B$351:$E$368,4,FALSE))</f>
        <v>6.8</v>
      </c>
      <c r="H89" s="203">
        <f>INDEX($R81:$AU95,$D89,5+VLOOKUP($B81,$B$351:$E$368,4,FALSE))</f>
        <v>6.4999999999999997E-3</v>
      </c>
      <c r="I89" s="203">
        <f>INDEX($R81:$AU95,$D89,6+VLOOKUP($B81,$B$351:$E$368,4,FALSE))</f>
        <v>8.1</v>
      </c>
      <c r="J89" s="203">
        <f>INDEX($R81:$AU95,$D89,9+VLOOKUP($B81,$B$351:$E$368,4,FALSE))</f>
        <v>6.4999999999999997E-3</v>
      </c>
      <c r="K89" s="203">
        <f>INDEX($R81:$AU95,$D89,10+VLOOKUP($B81,$B$351:$E$368,4,FALSE))</f>
        <v>8.4</v>
      </c>
      <c r="L89" s="203">
        <f>INDEX($R81:$AU95,$D89,13+VLOOKUP($B81,$B$351:$E$368,4,FALSE))</f>
        <v>6.7000000000000002E-3</v>
      </c>
      <c r="M89" s="203">
        <f>INDEX($R81:$AU95,$D89,14+VLOOKUP($B81,$B$351:$E$368,4,FALSE))</f>
        <v>8.98</v>
      </c>
      <c r="O89" s="215">
        <v>0</v>
      </c>
      <c r="P89" s="211">
        <v>17</v>
      </c>
      <c r="Q89" s="212">
        <v>20.2</v>
      </c>
      <c r="R89" s="203">
        <f>ROUND((Q89-P89)/(Q80-P80),4)</f>
        <v>5.7999999999999996E-3</v>
      </c>
      <c r="S89" s="217">
        <f>ROUND(P89-P80*R89,2)</f>
        <v>7.72</v>
      </c>
      <c r="T89" s="211">
        <v>19.899999999999999</v>
      </c>
      <c r="U89" s="212">
        <v>23.7</v>
      </c>
      <c r="V89" s="203">
        <f>ROUND((U89-T89)/(U80-T80),4)</f>
        <v>6.8999999999999999E-3</v>
      </c>
      <c r="W89" s="217">
        <f>ROUND(T89-T80*V89,2)</f>
        <v>8.86</v>
      </c>
      <c r="X89" s="211">
        <v>20.2</v>
      </c>
      <c r="Y89" s="212">
        <v>24</v>
      </c>
      <c r="Z89" s="203">
        <f>ROUND((Y89-X89)/(Y80-X80),4)</f>
        <v>6.8999999999999999E-3</v>
      </c>
      <c r="AA89" s="217">
        <f>ROUND(X89-X80*Z89,2)</f>
        <v>9.16</v>
      </c>
      <c r="AB89" s="211">
        <v>21.1</v>
      </c>
      <c r="AC89" s="212">
        <v>25</v>
      </c>
      <c r="AD89" s="203">
        <f>ROUND((AC89-AB89)/(AC80-AB80),4)</f>
        <v>7.1000000000000004E-3</v>
      </c>
      <c r="AE89" s="217">
        <f>ROUND(AB89-AB80*AD89,2)</f>
        <v>9.74</v>
      </c>
      <c r="AF89" s="211">
        <v>23.3</v>
      </c>
      <c r="AG89" s="212">
        <v>28.2</v>
      </c>
      <c r="AH89" s="203">
        <f>ROUND((AG89-AF89)/(AG80-AF80),4)</f>
        <v>8.8999999999999999E-3</v>
      </c>
      <c r="AI89" s="217">
        <f>ROUND(AF89-AF80*AH89,2)</f>
        <v>9.06</v>
      </c>
      <c r="AJ89" s="211">
        <v>27</v>
      </c>
      <c r="AK89" s="212">
        <v>32.799999999999997</v>
      </c>
      <c r="AL89" s="203">
        <f>ROUND((AK89-AJ89)/(AK80-AJ80),4)</f>
        <v>1.0500000000000001E-2</v>
      </c>
      <c r="AM89" s="217">
        <f>ROUND(AJ89-AJ80*AL89,2)</f>
        <v>10.199999999999999</v>
      </c>
      <c r="AN89" s="211">
        <v>27.6</v>
      </c>
      <c r="AO89" s="212">
        <v>33.5</v>
      </c>
      <c r="AP89" s="203">
        <f>ROUND((AO89-AN89)/(AO80-AN80),4)</f>
        <v>1.0699999999999999E-2</v>
      </c>
      <c r="AQ89" s="217">
        <f>ROUND(AN89-AN80*AP89,2)</f>
        <v>10.48</v>
      </c>
      <c r="AR89" s="211">
        <v>29.5</v>
      </c>
      <c r="AS89" s="212">
        <v>35.6</v>
      </c>
      <c r="AT89" s="203">
        <f>ROUND((AS89-AR89)/(AS80-AR80),4)</f>
        <v>1.11E-2</v>
      </c>
      <c r="AU89" s="217">
        <f>ROUND(AR89-AR80*AT89,2)</f>
        <v>11.74</v>
      </c>
    </row>
    <row r="90" spans="1:47">
      <c r="D90" s="133">
        <v>11</v>
      </c>
      <c r="E90" s="133">
        <v>10</v>
      </c>
      <c r="F90" s="203">
        <f>INDEX($R81:$AU95,$D90,1+VLOOKUP($B81,$B$351:$E$368,4,FALSE))</f>
        <v>4.4000000000000003E-3</v>
      </c>
      <c r="G90" s="203">
        <f>INDEX($R81:$AU95,$D90,2+VLOOKUP($B81,$B$351:$E$368,4,FALSE))</f>
        <v>7.56</v>
      </c>
      <c r="H90" s="203">
        <f>INDEX($R81:$AU95,$D90,5+VLOOKUP($B81,$B$351:$E$368,4,FALSE))</f>
        <v>6.0000000000000001E-3</v>
      </c>
      <c r="I90" s="203">
        <f>INDEX($R81:$AU95,$D90,6+VLOOKUP($B81,$B$351:$E$368,4,FALSE))</f>
        <v>7.6</v>
      </c>
      <c r="J90" s="203">
        <f>INDEX($R81:$AU95,$D90,9+VLOOKUP($B81,$B$351:$E$368,4,FALSE))</f>
        <v>5.7999999999999996E-3</v>
      </c>
      <c r="K90" s="203">
        <f>INDEX($R81:$AU95,$D90,10+VLOOKUP($B81,$B$351:$E$368,4,FALSE))</f>
        <v>8.2200000000000006</v>
      </c>
      <c r="L90" s="203">
        <f>INDEX($R81:$AU95,$D90,13+VLOOKUP($B81,$B$351:$E$368,4,FALSE))</f>
        <v>6.1999999999999998E-3</v>
      </c>
      <c r="M90" s="203">
        <f>INDEX($R81:$AU95,$D90,14+VLOOKUP($B81,$B$351:$E$368,4,FALSE))</f>
        <v>8.3800000000000008</v>
      </c>
      <c r="O90" s="215">
        <v>5</v>
      </c>
      <c r="P90" s="211">
        <v>15.6</v>
      </c>
      <c r="Q90" s="212">
        <v>18.600000000000001</v>
      </c>
      <c r="R90" s="203">
        <f>ROUND((Q90-P90)/(Q80-P80),4)</f>
        <v>5.4999999999999997E-3</v>
      </c>
      <c r="S90" s="217">
        <f>ROUND(P90-P80*R90,2)</f>
        <v>6.8</v>
      </c>
      <c r="T90" s="211">
        <v>18.5</v>
      </c>
      <c r="U90" s="212">
        <v>22.1</v>
      </c>
      <c r="V90" s="203">
        <f>ROUND((U90-T90)/(U80-T80),4)</f>
        <v>6.4999999999999997E-3</v>
      </c>
      <c r="W90" s="217">
        <f>ROUND(T90-T80*V90,2)</f>
        <v>8.1</v>
      </c>
      <c r="X90" s="211">
        <v>18.8</v>
      </c>
      <c r="Y90" s="212">
        <v>22.4</v>
      </c>
      <c r="Z90" s="203">
        <f>ROUND((Y90-X90)/(Y80-X80),4)</f>
        <v>6.4999999999999997E-3</v>
      </c>
      <c r="AA90" s="217">
        <f>ROUND(X90-X80*Z90,2)</f>
        <v>8.4</v>
      </c>
      <c r="AB90" s="211">
        <v>19.7</v>
      </c>
      <c r="AC90" s="212">
        <v>23.4</v>
      </c>
      <c r="AD90" s="203">
        <f>ROUND((AC90-AB90)/(AC80-AB80),4)</f>
        <v>6.7000000000000002E-3</v>
      </c>
      <c r="AE90" s="217">
        <f>ROUND(AB90-AB80*AD90,2)</f>
        <v>8.98</v>
      </c>
      <c r="AF90" s="211">
        <v>21.5</v>
      </c>
      <c r="AG90" s="212">
        <v>26.1</v>
      </c>
      <c r="AH90" s="203">
        <f>ROUND((AG90-AF90)/(AG80-AF80),4)</f>
        <v>8.3999999999999995E-3</v>
      </c>
      <c r="AI90" s="217">
        <f>ROUND(AF90-AF80*AH90,2)</f>
        <v>8.06</v>
      </c>
      <c r="AJ90" s="211">
        <v>25.2</v>
      </c>
      <c r="AK90" s="212">
        <v>30.6</v>
      </c>
      <c r="AL90" s="203">
        <f>ROUND((AK90-AJ90)/(AK80-AJ80),4)</f>
        <v>9.7999999999999997E-3</v>
      </c>
      <c r="AM90" s="217">
        <f>ROUND(AJ90-AJ80*AL90,2)</f>
        <v>9.52</v>
      </c>
      <c r="AN90" s="211">
        <v>25.8</v>
      </c>
      <c r="AO90" s="212">
        <v>31.3</v>
      </c>
      <c r="AP90" s="203">
        <f>ROUND((AO90-AN90)/(AO80-AN80),4)</f>
        <v>0.01</v>
      </c>
      <c r="AQ90" s="217">
        <f>ROUND(AN90-AN80*AP90,2)</f>
        <v>9.8000000000000007</v>
      </c>
      <c r="AR90" s="211">
        <v>27.7</v>
      </c>
      <c r="AS90" s="212">
        <v>33.4</v>
      </c>
      <c r="AT90" s="203">
        <f>ROUND((AS90-AR90)/(AS80-AR80),4)</f>
        <v>1.04E-2</v>
      </c>
      <c r="AU90" s="217">
        <f>ROUND(AR90-AR80*AT90,2)</f>
        <v>11.06</v>
      </c>
    </row>
    <row r="91" spans="1:47">
      <c r="A91" t="s">
        <v>256</v>
      </c>
      <c r="B91" s="163" t="e">
        <f>ROUND(B88/(4183*VLOOKUP(B82,B$345:E$348,4,FALSE))*3600,2)</f>
        <v>#REF!</v>
      </c>
      <c r="D91" s="133">
        <v>12</v>
      </c>
      <c r="E91" s="133">
        <v>15</v>
      </c>
      <c r="F91" s="203">
        <f>INDEX($R81:$AU95,$D91,1+VLOOKUP($B81,$B$351:$E$368,4,FALSE))</f>
        <v>4.4000000000000003E-3</v>
      </c>
      <c r="G91" s="203">
        <f>INDEX($R81:$AU95,$D91,2+VLOOKUP($B81,$B$351:$E$368,4,FALSE))</f>
        <v>5.86</v>
      </c>
      <c r="H91" s="203">
        <f>INDEX($R81:$AU95,$D91,5+VLOOKUP($B81,$B$351:$E$368,4,FALSE))</f>
        <v>5.4999999999999997E-3</v>
      </c>
      <c r="I91" s="203">
        <f>INDEX($R81:$AU95,$D91,6+VLOOKUP($B81,$B$351:$E$368,4,FALSE))</f>
        <v>7</v>
      </c>
      <c r="J91" s="203">
        <f>INDEX($R81:$AU95,$D91,9+VLOOKUP($B81,$B$351:$E$368,4,FALSE))</f>
        <v>5.4999999999999997E-3</v>
      </c>
      <c r="K91" s="203">
        <f>INDEX($R81:$AU95,$D91,10+VLOOKUP($B81,$B$351:$E$368,4,FALSE))</f>
        <v>7.3</v>
      </c>
      <c r="L91" s="203">
        <f>INDEX($R81:$AU95,$D91,13+VLOOKUP($B81,$B$351:$E$368,4,FALSE))</f>
        <v>5.5999999999999999E-3</v>
      </c>
      <c r="M91" s="203">
        <f>INDEX($R81:$AU95,$D91,14+VLOOKUP($B81,$B$351:$E$368,4,FALSE))</f>
        <v>8.0399999999999991</v>
      </c>
      <c r="O91" s="215">
        <v>10</v>
      </c>
      <c r="P91" s="211">
        <v>14.6</v>
      </c>
      <c r="Q91" s="212">
        <v>17</v>
      </c>
      <c r="R91" s="203">
        <f>ROUND((Q91-P91)/(Q80-P80),4)</f>
        <v>4.4000000000000003E-3</v>
      </c>
      <c r="S91" s="217">
        <f>ROUND(P91-P80*R91,2)</f>
        <v>7.56</v>
      </c>
      <c r="T91" s="211">
        <v>17.2</v>
      </c>
      <c r="U91" s="212">
        <v>20.5</v>
      </c>
      <c r="V91" s="203">
        <f>ROUND((U91-T91)/(U80-T80),4)</f>
        <v>6.0000000000000001E-3</v>
      </c>
      <c r="W91" s="217">
        <f>ROUND(T91-T80*V91,2)</f>
        <v>7.6</v>
      </c>
      <c r="X91" s="211">
        <v>17.5</v>
      </c>
      <c r="Y91" s="212">
        <v>20.7</v>
      </c>
      <c r="Z91" s="203">
        <f>ROUND((Y91-X91)/(Y80-X80),4)</f>
        <v>5.7999999999999996E-3</v>
      </c>
      <c r="AA91" s="217">
        <f>ROUND(X91-X80*Z91,2)</f>
        <v>8.2200000000000006</v>
      </c>
      <c r="AB91" s="211">
        <v>18.3</v>
      </c>
      <c r="AC91" s="212">
        <v>21.7</v>
      </c>
      <c r="AD91" s="203">
        <f>ROUND((AC91-AB91)/(AC80-AB80),4)</f>
        <v>6.1999999999999998E-3</v>
      </c>
      <c r="AE91" s="217">
        <f>ROUND(AB91-AB80*AD91,2)</f>
        <v>8.3800000000000008</v>
      </c>
      <c r="AF91" s="211">
        <v>19.8</v>
      </c>
      <c r="AG91" s="212">
        <v>23.9</v>
      </c>
      <c r="AH91" s="203">
        <f>ROUND((AG91-AF91)/(AG80-AF80),4)</f>
        <v>7.4999999999999997E-3</v>
      </c>
      <c r="AI91" s="217">
        <f>ROUND(AF91-AF80*AH91,2)</f>
        <v>7.8</v>
      </c>
      <c r="AJ91" s="211">
        <v>23.5</v>
      </c>
      <c r="AK91" s="212">
        <v>28.4</v>
      </c>
      <c r="AL91" s="203">
        <f>ROUND((AK91-AJ91)/(AK80-AJ80),4)</f>
        <v>8.8999999999999999E-3</v>
      </c>
      <c r="AM91" s="217">
        <f>ROUND(AJ91-AJ80*AL91,2)</f>
        <v>9.26</v>
      </c>
      <c r="AN91" s="211">
        <v>24.1</v>
      </c>
      <c r="AO91" s="212">
        <v>29.1</v>
      </c>
      <c r="AP91" s="203">
        <f>ROUND((AO91-AN91)/(AO80-AN80),4)</f>
        <v>9.1000000000000004E-3</v>
      </c>
      <c r="AQ91" s="217">
        <f>ROUND(AN91-AN80*AP91,2)</f>
        <v>9.5399999999999991</v>
      </c>
      <c r="AR91" s="211">
        <v>25.9</v>
      </c>
      <c r="AS91" s="212">
        <v>31.2</v>
      </c>
      <c r="AT91" s="203">
        <f>ROUND((AS91-AR91)/(AS80-AR80),4)</f>
        <v>9.5999999999999992E-3</v>
      </c>
      <c r="AU91" s="217">
        <f>ROUND(AR91-AR80*AT91,2)</f>
        <v>10.54</v>
      </c>
    </row>
    <row r="92" spans="1:47">
      <c r="A92" t="s">
        <v>257</v>
      </c>
      <c r="B92" s="163" t="e">
        <f>ROUND(100*POWER(B91/VLOOKUP(B81,B$351:C$368,2,FALSE),2),1)</f>
        <v>#REF!</v>
      </c>
      <c r="D92" s="133">
        <v>13</v>
      </c>
      <c r="E92" s="133">
        <v>20</v>
      </c>
      <c r="F92" s="203">
        <f>INDEX($R81:$AU95,$D92,1+VLOOKUP($B81,$B$351:$E$368,4,FALSE))</f>
        <v>3.7000000000000002E-3</v>
      </c>
      <c r="G92" s="203">
        <f>INDEX($R81:$AU95,$D92,2+VLOOKUP($B81,$B$351:$E$368,4,FALSE))</f>
        <v>5.75</v>
      </c>
      <c r="H92" s="203">
        <f>INDEX($R81:$AU95,$D92,5+VLOOKUP($B81,$B$351:$E$368,4,FALSE))</f>
        <v>5.0000000000000001E-3</v>
      </c>
      <c r="I92" s="203">
        <f>INDEX($R81:$AU95,$D92,6+VLOOKUP($B81,$B$351:$E$368,4,FALSE))</f>
        <v>6.45</v>
      </c>
      <c r="J92" s="203">
        <f>INDEX($R81:$AU95,$D92,9+VLOOKUP($B81,$B$351:$E$368,4,FALSE))</f>
        <v>4.8999999999999998E-3</v>
      </c>
      <c r="K92" s="203">
        <f>INDEX($R81:$AU95,$D92,10+VLOOKUP($B81,$B$351:$E$368,4,FALSE))</f>
        <v>6.93</v>
      </c>
      <c r="L92" s="203">
        <f>INDEX($R81:$AU95,$D92,13+VLOOKUP($B81,$B$351:$E$368,4,FALSE))</f>
        <v>5.4000000000000003E-3</v>
      </c>
      <c r="M92" s="203">
        <f>INDEX($R81:$AU95,$D92,14+VLOOKUP($B81,$B$351:$E$368,4,FALSE))</f>
        <v>6.85</v>
      </c>
      <c r="O92" s="215">
        <v>15</v>
      </c>
      <c r="P92" s="211">
        <v>12.9</v>
      </c>
      <c r="Q92" s="212">
        <v>15.3</v>
      </c>
      <c r="R92" s="203">
        <f>ROUND((Q92-P92)/(Q80-P80),4)</f>
        <v>4.4000000000000003E-3</v>
      </c>
      <c r="S92" s="217">
        <f>ROUND(P92-P80*R92,2)</f>
        <v>5.86</v>
      </c>
      <c r="T92" s="211">
        <v>15.8</v>
      </c>
      <c r="U92" s="212">
        <v>18.8</v>
      </c>
      <c r="V92" s="203">
        <f>ROUND((U92-T92)/(U80-T80),4)</f>
        <v>5.4999999999999997E-3</v>
      </c>
      <c r="W92" s="217">
        <f>ROUND(T92-T80*V92,2)</f>
        <v>7</v>
      </c>
      <c r="X92" s="211">
        <v>16.100000000000001</v>
      </c>
      <c r="Y92" s="212">
        <v>19.100000000000001</v>
      </c>
      <c r="Z92" s="203">
        <f>ROUND((Y92-X92)/(Y80-X80),4)</f>
        <v>5.4999999999999997E-3</v>
      </c>
      <c r="AA92" s="217">
        <f>ROUND(X92-X80*Z92,2)</f>
        <v>7.3</v>
      </c>
      <c r="AB92" s="211">
        <v>17</v>
      </c>
      <c r="AC92" s="212">
        <v>20.100000000000001</v>
      </c>
      <c r="AD92" s="203">
        <f>ROUND((AC92-AB92)/(AC80-AB80),4)</f>
        <v>5.5999999999999999E-3</v>
      </c>
      <c r="AE92" s="217">
        <f>ROUND(AB92-AB80*AD92,2)</f>
        <v>8.0399999999999991</v>
      </c>
      <c r="AF92" s="211">
        <v>18</v>
      </c>
      <c r="AG92" s="212">
        <v>21.8</v>
      </c>
      <c r="AH92" s="203">
        <f>ROUND((AG92-AF92)/(AG80-AF80),4)</f>
        <v>6.8999999999999999E-3</v>
      </c>
      <c r="AI92" s="217">
        <f>ROUND(AF92-AF80*AH92,2)</f>
        <v>6.96</v>
      </c>
      <c r="AJ92" s="211">
        <v>21.7</v>
      </c>
      <c r="AK92" s="212">
        <v>26.3</v>
      </c>
      <c r="AL92" s="203">
        <f>ROUND((AK92-AJ92)/(AK80-AJ80),4)</f>
        <v>8.3999999999999995E-3</v>
      </c>
      <c r="AM92" s="217">
        <f>ROUND(AJ92-AJ80*AL92,2)</f>
        <v>8.26</v>
      </c>
      <c r="AN92" s="211">
        <v>22.3</v>
      </c>
      <c r="AO92" s="212">
        <v>27</v>
      </c>
      <c r="AP92" s="203">
        <f>ROUND((AO92-AN92)/(AO80-AN80),4)</f>
        <v>8.5000000000000006E-3</v>
      </c>
      <c r="AQ92" s="217">
        <f>ROUND(AN92-AN80*AP92,2)</f>
        <v>8.6999999999999993</v>
      </c>
      <c r="AR92" s="211">
        <v>24.1</v>
      </c>
      <c r="AS92" s="212">
        <v>29</v>
      </c>
      <c r="AT92" s="203">
        <f>ROUND((AS92-AR92)/(AS80-AR80),4)</f>
        <v>8.8999999999999999E-3</v>
      </c>
      <c r="AU92" s="217">
        <f>ROUND(AR92-AR80*AT92,2)</f>
        <v>9.86</v>
      </c>
    </row>
    <row r="93" spans="1:47">
      <c r="D93" s="133">
        <v>14</v>
      </c>
      <c r="E93" s="133">
        <v>25</v>
      </c>
      <c r="F93" s="203">
        <f>INDEX($R81:$AU95,$D93,1+VLOOKUP($B81,$B$351:$E$368,4,FALSE))</f>
        <v>3.2000000000000002E-3</v>
      </c>
      <c r="G93" s="203">
        <f>INDEX($R81:$AU95,$D93,2+VLOOKUP($B81,$B$351:$E$368,4,FALSE))</f>
        <v>5.21</v>
      </c>
      <c r="H93" s="203">
        <f>INDEX($R81:$AU95,$D93,5+VLOOKUP($B81,$B$351:$E$368,4,FALSE))</f>
        <v>4.4999999999999997E-3</v>
      </c>
      <c r="I93" s="203">
        <f>INDEX($R81:$AU95,$D93,6+VLOOKUP($B81,$B$351:$E$368,4,FALSE))</f>
        <v>5.9</v>
      </c>
      <c r="J93" s="203">
        <f>INDEX($R81:$AU95,$D93,9+VLOOKUP($B81,$B$351:$E$368,4,FALSE))</f>
        <v>4.4000000000000003E-3</v>
      </c>
      <c r="K93" s="203">
        <f>INDEX($R81:$AU95,$D93,10+VLOOKUP($B81,$B$351:$E$368,4,FALSE))</f>
        <v>6.38</v>
      </c>
      <c r="L93" s="203">
        <f>INDEX($R81:$AU95,$D93,13+VLOOKUP($B81,$B$351:$E$368,4,FALSE))</f>
        <v>5.0000000000000001E-3</v>
      </c>
      <c r="M93" s="203">
        <f>INDEX($R81:$AU95,$D93,14+VLOOKUP($B81,$B$351:$E$368,4,FALSE))</f>
        <v>6.08</v>
      </c>
      <c r="O93" s="215">
        <v>20</v>
      </c>
      <c r="P93" s="211">
        <v>11.6666666666667</v>
      </c>
      <c r="Q93" s="212">
        <v>13.706666666666599</v>
      </c>
      <c r="R93" s="203">
        <f>ROUND((Q93-P93)/(Q80-P80),4)</f>
        <v>3.7000000000000002E-3</v>
      </c>
      <c r="S93" s="217">
        <f>ROUND(P93-P80*R93,2)</f>
        <v>5.75</v>
      </c>
      <c r="T93" s="211">
        <v>14.453333333333299</v>
      </c>
      <c r="U93" s="212">
        <v>17.206666666666599</v>
      </c>
      <c r="V93" s="203">
        <f>ROUND((U93-T93)/(U80-T80),4)</f>
        <v>5.0000000000000001E-3</v>
      </c>
      <c r="W93" s="217">
        <f>ROUND(T93-T80*V93,2)</f>
        <v>6.45</v>
      </c>
      <c r="X93" s="211">
        <v>14.766666666666699</v>
      </c>
      <c r="Y93" s="212">
        <v>17.473333333333301</v>
      </c>
      <c r="Z93" s="203">
        <f>ROUND((Y93-X93)/(Y80-X80),4)</f>
        <v>4.8999999999999998E-3</v>
      </c>
      <c r="AA93" s="217">
        <f>ROUND(X93-X80*Z93,2)</f>
        <v>6.93</v>
      </c>
      <c r="AB93" s="211">
        <v>15.4866666666667</v>
      </c>
      <c r="AC93" s="212">
        <v>18.466666666666701</v>
      </c>
      <c r="AD93" s="203">
        <f>ROUND((AC93-AB93)/(AC80-AB80),4)</f>
        <v>5.4000000000000003E-3</v>
      </c>
      <c r="AE93" s="217">
        <f>ROUND(AB93-AB80*AD93,2)</f>
        <v>6.85</v>
      </c>
      <c r="AF93" s="211">
        <v>16.266666666666602</v>
      </c>
      <c r="AG93" s="212">
        <v>19.613333333333401</v>
      </c>
      <c r="AH93" s="203">
        <f>ROUND((AG93-AF93)/(AG80-AF80),4)</f>
        <v>6.1000000000000004E-3</v>
      </c>
      <c r="AI93" s="217">
        <f>ROUND(AF93-AF80*AH93,2)</f>
        <v>6.51</v>
      </c>
      <c r="AJ93" s="211">
        <v>19.953333333333301</v>
      </c>
      <c r="AK93" s="212">
        <v>24.133333333333301</v>
      </c>
      <c r="AL93" s="203">
        <f>ROUND((AK93-AJ93)/(AK80-AJ80),4)</f>
        <v>7.6E-3</v>
      </c>
      <c r="AM93" s="217">
        <f>ROUND(AJ93-AJ80*AL93,2)</f>
        <v>7.79</v>
      </c>
      <c r="AN93" s="211">
        <v>20.54</v>
      </c>
      <c r="AO93" s="212">
        <v>24.886666666666599</v>
      </c>
      <c r="AP93" s="203">
        <f>ROUND((AO93-AN93)/(AO80-AN80),4)</f>
        <v>7.9000000000000008E-3</v>
      </c>
      <c r="AQ93" s="217">
        <f>ROUND(AN93-AN80*AP93,2)</f>
        <v>7.9</v>
      </c>
      <c r="AR93" s="211">
        <v>22.34</v>
      </c>
      <c r="AS93" s="212">
        <v>26.813333333333301</v>
      </c>
      <c r="AT93" s="203">
        <f>ROUND((AS93-AR93)/(AS80-AR80),4)</f>
        <v>8.0999999999999996E-3</v>
      </c>
      <c r="AU93" s="217">
        <f>ROUND(AR93-AR80*AT93,2)</f>
        <v>9.3800000000000008</v>
      </c>
    </row>
    <row r="94" spans="1:47">
      <c r="D94" s="133">
        <v>15</v>
      </c>
      <c r="E94" s="133">
        <v>30</v>
      </c>
      <c r="F94" s="203">
        <f>INDEX($R81:$AU95,$D94,1+VLOOKUP($B81,$B$351:$E$368,4,FALSE))</f>
        <v>2.7000000000000001E-3</v>
      </c>
      <c r="G94" s="203">
        <f>INDEX($R81:$AU95,$D94,2+VLOOKUP($B81,$B$351:$E$368,4,FALSE))</f>
        <v>4.67</v>
      </c>
      <c r="H94" s="203">
        <f>INDEX($R81:$AU95,$D94,5+VLOOKUP($B81,$B$351:$E$368,4,FALSE))</f>
        <v>4.0000000000000001E-3</v>
      </c>
      <c r="I94" s="203">
        <f>INDEX($R81:$AU95,$D94,6+VLOOKUP($B81,$B$351:$E$368,4,FALSE))</f>
        <v>5.34</v>
      </c>
      <c r="J94" s="203">
        <f>INDEX($R81:$AU95,$D94,9+VLOOKUP($B81,$B$351:$E$368,4,FALSE))</f>
        <v>3.8999999999999998E-3</v>
      </c>
      <c r="K94" s="203">
        <f>INDEX($R81:$AU95,$D94,10+VLOOKUP($B81,$B$351:$E$368,4,FALSE))</f>
        <v>5.82</v>
      </c>
      <c r="L94" s="203">
        <f>INDEX($R81:$AU95,$D94,13+VLOOKUP($B81,$B$351:$E$368,4,FALSE))</f>
        <v>4.5999999999999999E-3</v>
      </c>
      <c r="M94" s="203">
        <f>INDEX($R81:$AU95,$D94,14+VLOOKUP($B81,$B$351:$E$368,4,FALSE))</f>
        <v>5.32</v>
      </c>
      <c r="O94" s="215">
        <v>25</v>
      </c>
      <c r="P94" s="211">
        <v>10.327878787878801</v>
      </c>
      <c r="Q94" s="212">
        <v>12.080606060606</v>
      </c>
      <c r="R94" s="203">
        <f>ROUND((Q94-P94)/(Q80-P80),4)</f>
        <v>3.2000000000000002E-3</v>
      </c>
      <c r="S94" s="217">
        <f>ROUND(P94-P80*R94,2)</f>
        <v>5.21</v>
      </c>
      <c r="T94" s="211">
        <v>13.0975757575758</v>
      </c>
      <c r="U94" s="212">
        <v>15.580606060606</v>
      </c>
      <c r="V94" s="203">
        <f>ROUND((U94-T94)/(U80-T80),4)</f>
        <v>4.4999999999999997E-3</v>
      </c>
      <c r="W94" s="217">
        <f>ROUND(T94-T80*V94,2)</f>
        <v>5.9</v>
      </c>
      <c r="X94" s="211">
        <v>13.4151515151515</v>
      </c>
      <c r="Y94" s="212">
        <v>15.8430303030303</v>
      </c>
      <c r="Z94" s="203">
        <f>ROUND((Y94-X94)/(Y80-X80),4)</f>
        <v>4.4000000000000003E-3</v>
      </c>
      <c r="AA94" s="217">
        <f>ROUND(X94-X80*Z94,2)</f>
        <v>6.38</v>
      </c>
      <c r="AB94" s="211">
        <v>14.082424242424199</v>
      </c>
      <c r="AC94" s="212">
        <v>16.8369696969697</v>
      </c>
      <c r="AD94" s="203">
        <f>ROUND((AC94-AB94)/(AC80-AB80),4)</f>
        <v>5.0000000000000001E-3</v>
      </c>
      <c r="AE94" s="217">
        <f>ROUND(AB94-AB80*AD94,2)</f>
        <v>6.08</v>
      </c>
      <c r="AF94" s="211">
        <v>14.5096969696969</v>
      </c>
      <c r="AG94" s="212">
        <v>17.459393939394001</v>
      </c>
      <c r="AH94" s="203">
        <f>ROUND((AG94-AF94)/(AG80-AF80),4)</f>
        <v>5.4000000000000003E-3</v>
      </c>
      <c r="AI94" s="217">
        <f>ROUND(AF94-AF80*AH94,2)</f>
        <v>5.87</v>
      </c>
      <c r="AJ94" s="211">
        <v>18.1957575757576</v>
      </c>
      <c r="AK94" s="212">
        <v>21.977575757575799</v>
      </c>
      <c r="AL94" s="203">
        <f>ROUND((AK94-AJ94)/(AK80-AJ80),4)</f>
        <v>6.8999999999999999E-3</v>
      </c>
      <c r="AM94" s="217">
        <f>ROUND(AJ94-AJ80*AL94,2)</f>
        <v>7.16</v>
      </c>
      <c r="AN94" s="211">
        <v>18.7745454545455</v>
      </c>
      <c r="AO94" s="212">
        <v>22.720606060605999</v>
      </c>
      <c r="AP94" s="203">
        <f>ROUND((AO94-AN94)/(AO80-AN80),4)</f>
        <v>7.1999999999999998E-3</v>
      </c>
      <c r="AQ94" s="217">
        <f>ROUND(AN94-AN80*AP94,2)</f>
        <v>7.25</v>
      </c>
      <c r="AR94" s="211">
        <v>20.554545454545501</v>
      </c>
      <c r="AS94" s="212">
        <v>24.637575757575799</v>
      </c>
      <c r="AT94" s="203">
        <f>ROUND((AS94-AR94)/(AS80-AR80),4)</f>
        <v>7.4000000000000003E-3</v>
      </c>
      <c r="AU94" s="217">
        <f>ROUND(AR94-AR80*AT94,2)</f>
        <v>8.7100000000000009</v>
      </c>
    </row>
    <row r="95" spans="1:47" ht="15" thickBot="1">
      <c r="O95" s="216">
        <v>30</v>
      </c>
      <c r="P95" s="226">
        <v>8.9890909090909492</v>
      </c>
      <c r="Q95" s="227">
        <v>10.4545454545454</v>
      </c>
      <c r="R95" s="228">
        <f>ROUND((Q95-P95)/(Q80-P80),4)</f>
        <v>2.7000000000000001E-3</v>
      </c>
      <c r="S95" s="229">
        <f>ROUND(P95-P80*R95,2)</f>
        <v>4.67</v>
      </c>
      <c r="T95" s="226">
        <v>11.7418181818182</v>
      </c>
      <c r="U95" s="227">
        <v>13.9545454545454</v>
      </c>
      <c r="V95" s="228">
        <f>ROUND((U95-T95)/(U80-T80),4)</f>
        <v>4.0000000000000001E-3</v>
      </c>
      <c r="W95" s="229">
        <f>ROUND(T95-T80*V95,2)</f>
        <v>5.34</v>
      </c>
      <c r="X95" s="226">
        <v>12.0636363636364</v>
      </c>
      <c r="Y95" s="227">
        <v>14.2127272727272</v>
      </c>
      <c r="Z95" s="228">
        <f>ROUND((Y95-X95)/(Y80-X80),4)</f>
        <v>3.8999999999999998E-3</v>
      </c>
      <c r="AA95" s="229">
        <f>ROUND(X95-X80*Z95,2)</f>
        <v>5.82</v>
      </c>
      <c r="AB95" s="226">
        <v>12.6781818181818</v>
      </c>
      <c r="AC95" s="227">
        <v>15.2072727272728</v>
      </c>
      <c r="AD95" s="228">
        <f>ROUND((AC95-AB95)/(AC80-AB80),4)</f>
        <v>4.5999999999999999E-3</v>
      </c>
      <c r="AE95" s="229">
        <f>ROUND(AB95-AB80*AD95,2)</f>
        <v>5.32</v>
      </c>
      <c r="AF95" s="226">
        <v>12.752727272727199</v>
      </c>
      <c r="AG95" s="227">
        <v>15.3054545454546</v>
      </c>
      <c r="AH95" s="228">
        <f>ROUND((AG95-AF95)/(AG80-AF80),4)</f>
        <v>4.5999999999999999E-3</v>
      </c>
      <c r="AI95" s="229">
        <f>ROUND(AF95-AF80*AH95,2)</f>
        <v>5.39</v>
      </c>
      <c r="AJ95" s="226">
        <v>16.4381818181818</v>
      </c>
      <c r="AK95" s="227">
        <v>19.821818181818202</v>
      </c>
      <c r="AL95" s="228">
        <f>ROUND((AK95-AJ95)/(AK80-AJ80),4)</f>
        <v>6.1999999999999998E-3</v>
      </c>
      <c r="AM95" s="229">
        <f>ROUND(AJ95-AJ80*AL95,2)</f>
        <v>6.52</v>
      </c>
      <c r="AN95" s="226">
        <v>17.009090909090901</v>
      </c>
      <c r="AO95" s="227">
        <v>20.554545454545401</v>
      </c>
      <c r="AP95" s="228">
        <f>ROUND((AO95-AN95)/(AO80-AN80),4)</f>
        <v>6.4000000000000003E-3</v>
      </c>
      <c r="AQ95" s="229">
        <f>ROUND(AN95-AN80*AP95,2)</f>
        <v>6.77</v>
      </c>
      <c r="AR95" s="226">
        <v>18.769090909090998</v>
      </c>
      <c r="AS95" s="227">
        <v>22.461818181818199</v>
      </c>
      <c r="AT95" s="228">
        <f>ROUND((AS95-AR95)/(AS80-AR80),4)</f>
        <v>6.7000000000000002E-3</v>
      </c>
      <c r="AU95" s="229">
        <f>ROUND(AR95-AR80*AT95,2)</f>
        <v>8.0500000000000007</v>
      </c>
    </row>
    <row r="96" spans="1:47" ht="15" thickBot="1">
      <c r="O96" s="224"/>
      <c r="P96" s="225"/>
      <c r="Q96" s="225"/>
      <c r="R96" s="225"/>
      <c r="S96" s="225"/>
      <c r="T96" s="225"/>
      <c r="U96" s="225"/>
      <c r="V96" s="225"/>
      <c r="W96" s="225"/>
      <c r="X96" s="225"/>
      <c r="Y96" s="225"/>
      <c r="Z96" s="225"/>
      <c r="AA96" s="225"/>
      <c r="AB96" s="225"/>
      <c r="AC96" s="225"/>
      <c r="AD96" s="225"/>
      <c r="AE96" s="225"/>
      <c r="AF96" s="225"/>
      <c r="AG96" s="225"/>
      <c r="AH96" s="225"/>
      <c r="AI96" s="225"/>
      <c r="AJ96" s="225"/>
      <c r="AK96" s="225"/>
      <c r="AL96" s="225"/>
      <c r="AM96" s="225"/>
      <c r="AN96" s="225"/>
      <c r="AO96" s="225"/>
      <c r="AP96" s="225"/>
      <c r="AQ96" s="225"/>
      <c r="AR96" s="225"/>
      <c r="AS96" s="225"/>
      <c r="AT96" s="225"/>
      <c r="AU96" s="225"/>
    </row>
    <row r="97" spans="1:47" ht="15" thickBot="1">
      <c r="E97" s="163"/>
      <c r="F97" s="596" t="s">
        <v>244</v>
      </c>
      <c r="G97" s="597"/>
      <c r="H97" s="597" t="s">
        <v>245</v>
      </c>
      <c r="I97" s="597"/>
      <c r="J97" s="597" t="s">
        <v>246</v>
      </c>
      <c r="K97" s="597"/>
      <c r="L97" s="597" t="s">
        <v>247</v>
      </c>
      <c r="M97" s="598"/>
      <c r="O97" s="204" t="s">
        <v>258</v>
      </c>
      <c r="P97" s="590" t="s">
        <v>286</v>
      </c>
      <c r="Q97" s="591"/>
      <c r="R97" s="591"/>
      <c r="S97" s="591"/>
      <c r="T97" s="591"/>
      <c r="U97" s="591"/>
      <c r="V97" s="591"/>
      <c r="W97" s="591"/>
      <c r="X97" s="591"/>
      <c r="Y97" s="591"/>
      <c r="Z97" s="591"/>
      <c r="AA97" s="591"/>
      <c r="AB97" s="591"/>
      <c r="AC97" s="591"/>
      <c r="AD97" s="591"/>
      <c r="AE97" s="592"/>
      <c r="AF97" s="590" t="s">
        <v>287</v>
      </c>
      <c r="AG97" s="591"/>
      <c r="AH97" s="591"/>
      <c r="AI97" s="591"/>
      <c r="AJ97" s="591"/>
      <c r="AK97" s="591"/>
      <c r="AL97" s="591"/>
      <c r="AM97" s="591"/>
      <c r="AN97" s="591"/>
      <c r="AO97" s="591"/>
      <c r="AP97" s="591"/>
      <c r="AQ97" s="591"/>
      <c r="AR97" s="591"/>
      <c r="AS97" s="591"/>
      <c r="AT97" s="591"/>
      <c r="AU97" s="592"/>
    </row>
    <row r="98" spans="1:47" ht="15" thickBot="1">
      <c r="E98" s="163"/>
      <c r="F98" s="221" t="s">
        <v>66</v>
      </c>
      <c r="G98" s="222" t="s">
        <v>249</v>
      </c>
      <c r="H98" s="222" t="s">
        <v>66</v>
      </c>
      <c r="I98" s="222" t="s">
        <v>249</v>
      </c>
      <c r="J98" s="222" t="s">
        <v>66</v>
      </c>
      <c r="K98" s="222" t="s">
        <v>249</v>
      </c>
      <c r="L98" s="222" t="s">
        <v>66</v>
      </c>
      <c r="M98" s="223" t="s">
        <v>249</v>
      </c>
      <c r="O98" s="205" t="s">
        <v>251</v>
      </c>
      <c r="P98" s="593" t="s">
        <v>276</v>
      </c>
      <c r="Q98" s="594"/>
      <c r="R98" s="594"/>
      <c r="S98" s="595"/>
      <c r="T98" s="593" t="s">
        <v>277</v>
      </c>
      <c r="U98" s="594"/>
      <c r="V98" s="594"/>
      <c r="W98" s="595"/>
      <c r="X98" s="593" t="s">
        <v>278</v>
      </c>
      <c r="Y98" s="594"/>
      <c r="Z98" s="594"/>
      <c r="AA98" s="595"/>
      <c r="AB98" s="593" t="s">
        <v>279</v>
      </c>
      <c r="AC98" s="594"/>
      <c r="AD98" s="594"/>
      <c r="AE98" s="595"/>
      <c r="AF98" s="593" t="s">
        <v>276</v>
      </c>
      <c r="AG98" s="594"/>
      <c r="AH98" s="594"/>
      <c r="AI98" s="595"/>
      <c r="AJ98" s="593" t="s">
        <v>277</v>
      </c>
      <c r="AK98" s="594"/>
      <c r="AL98" s="594"/>
      <c r="AM98" s="595"/>
      <c r="AN98" s="593" t="s">
        <v>278</v>
      </c>
      <c r="AO98" s="594"/>
      <c r="AP98" s="594"/>
      <c r="AQ98" s="595"/>
      <c r="AR98" s="593" t="s">
        <v>279</v>
      </c>
      <c r="AS98" s="594"/>
      <c r="AT98" s="594"/>
      <c r="AU98" s="595"/>
    </row>
    <row r="99" spans="1:47" ht="15" thickBot="1">
      <c r="A99" t="s">
        <v>248</v>
      </c>
      <c r="B99" s="163" t="e">
        <f>Задача_Расход</f>
        <v>#REF!</v>
      </c>
      <c r="D99" s="133">
        <v>1</v>
      </c>
      <c r="E99" s="133">
        <v>-40</v>
      </c>
      <c r="F99" s="220">
        <f>INDEX($R100:$AU114,$D99,1+VLOOKUP($B100,$B$351:$E$368,4,FALSE))</f>
        <v>1.47E-2</v>
      </c>
      <c r="G99" s="220">
        <f>INDEX($R100:$AU114,$D99,2+VLOOKUP($B100,$B$351:$E$368,4,FALSE))</f>
        <v>13.83</v>
      </c>
      <c r="H99" s="220">
        <f>INDEX($R100:$AU114,$D99,5+VLOOKUP($B100,$B$351:$E$368,4,FALSE))</f>
        <v>1.6299999999999999E-2</v>
      </c>
      <c r="I99" s="220">
        <f>INDEX($R100:$AU114,$D99,6+VLOOKUP($B100,$B$351:$E$368,4,FALSE))</f>
        <v>14.96</v>
      </c>
      <c r="J99" s="220">
        <f>INDEX($R100:$AU114,$D99,9+VLOOKUP($B100,$B$351:$E$368,4,FALSE))</f>
        <v>1.66E-2</v>
      </c>
      <c r="K99" s="220">
        <f>INDEX($R100:$AU114,$D99,10+VLOOKUP($B100,$B$351:$E$368,4,FALSE))</f>
        <v>15.17</v>
      </c>
      <c r="L99" s="220">
        <f>INDEX($R100:$AU114,$D99,13+VLOOKUP($B100,$B$351:$E$368,4,FALSE))</f>
        <v>1.66E-2</v>
      </c>
      <c r="M99" s="220">
        <f>INDEX($R100:$AU114,$D99,14+VLOOKUP($B100,$B$351:$E$368,4,FALSE))</f>
        <v>17.21</v>
      </c>
      <c r="O99" s="206" t="s">
        <v>248</v>
      </c>
      <c r="P99" s="207">
        <v>1600</v>
      </c>
      <c r="Q99" s="208">
        <v>2150</v>
      </c>
      <c r="R99" s="208"/>
      <c r="S99" s="209"/>
      <c r="T99" s="207">
        <v>1600</v>
      </c>
      <c r="U99" s="208">
        <v>2150</v>
      </c>
      <c r="V99" s="208"/>
      <c r="W99" s="209"/>
      <c r="X99" s="207">
        <v>1600</v>
      </c>
      <c r="Y99" s="208">
        <v>2150</v>
      </c>
      <c r="Z99" s="208"/>
      <c r="AA99" s="209"/>
      <c r="AB99" s="207">
        <v>1600</v>
      </c>
      <c r="AC99" s="208">
        <v>2150</v>
      </c>
      <c r="AD99" s="208"/>
      <c r="AE99" s="209"/>
      <c r="AF99" s="207">
        <v>1600</v>
      </c>
      <c r="AG99" s="208">
        <v>2150</v>
      </c>
      <c r="AH99" s="208"/>
      <c r="AI99" s="209"/>
      <c r="AJ99" s="207">
        <v>1600</v>
      </c>
      <c r="AK99" s="208">
        <v>2150</v>
      </c>
      <c r="AL99" s="208"/>
      <c r="AM99" s="209"/>
      <c r="AN99" s="207">
        <v>1600</v>
      </c>
      <c r="AO99" s="208">
        <v>2150</v>
      </c>
      <c r="AP99" s="208"/>
      <c r="AQ99" s="209"/>
      <c r="AR99" s="207">
        <v>1600</v>
      </c>
      <c r="AS99" s="208">
        <v>2150</v>
      </c>
      <c r="AT99" s="208"/>
      <c r="AU99" s="209"/>
    </row>
    <row r="100" spans="1:47">
      <c r="A100" t="s">
        <v>250</v>
      </c>
      <c r="B100" s="163" t="s">
        <v>264</v>
      </c>
      <c r="D100" s="133">
        <v>2</v>
      </c>
      <c r="E100" s="133">
        <v>-35</v>
      </c>
      <c r="F100" s="203">
        <f>INDEX($R100:$AU114,$D100,1+VLOOKUP($B100,$B$351:$E$368,4,FALSE))</f>
        <v>1.4E-2</v>
      </c>
      <c r="G100" s="203">
        <f>INDEX($R100:$AU114,$D100,2+VLOOKUP($B100,$B$351:$E$368,4,FALSE))</f>
        <v>13.19</v>
      </c>
      <c r="H100" s="203">
        <f>INDEX($R100:$AU114,$D100,5+VLOOKUP($B100,$B$351:$E$368,4,FALSE))</f>
        <v>1.5599999999999999E-2</v>
      </c>
      <c r="I100" s="203">
        <f>INDEX($R100:$AU114,$D100,6+VLOOKUP($B100,$B$351:$E$368,4,FALSE))</f>
        <v>14.33</v>
      </c>
      <c r="J100" s="203">
        <f>INDEX($R100:$AU114,$D100,9+VLOOKUP($B100,$B$351:$E$368,4,FALSE))</f>
        <v>1.5900000000000001E-2</v>
      </c>
      <c r="K100" s="203">
        <f>INDEX($R100:$AU114,$D100,10+VLOOKUP($B100,$B$351:$E$368,4,FALSE))</f>
        <v>14.52</v>
      </c>
      <c r="L100" s="203">
        <f>INDEX($R100:$AU114,$D100,13+VLOOKUP($B100,$B$351:$E$368,4,FALSE))</f>
        <v>1.5900000000000001E-2</v>
      </c>
      <c r="M100" s="203">
        <f>INDEX($R100:$AU114,$D100,14+VLOOKUP($B100,$B$351:$E$368,4,FALSE))</f>
        <v>16.54</v>
      </c>
      <c r="O100" s="210">
        <v>-40</v>
      </c>
      <c r="P100" s="211">
        <v>27.7321212121212</v>
      </c>
      <c r="Q100" s="212">
        <v>33.219393939394003</v>
      </c>
      <c r="R100" s="203">
        <f>ROUND((Q100-P100)/(Q99-P99),4)</f>
        <v>0.01</v>
      </c>
      <c r="S100" s="217">
        <f>ROUND(P100-P99*R100,2)</f>
        <v>11.73</v>
      </c>
      <c r="T100" s="211">
        <v>30.7224242424242</v>
      </c>
      <c r="U100" s="212">
        <v>36.719393939394003</v>
      </c>
      <c r="V100" s="203">
        <f>ROUND((U100-T100)/(U99-T99),4)</f>
        <v>1.09E-2</v>
      </c>
      <c r="W100" s="217">
        <f>ROUND(T100-T99*V100,2)</f>
        <v>13.28</v>
      </c>
      <c r="X100" s="211">
        <v>30.984848484848499</v>
      </c>
      <c r="Y100" s="212">
        <v>37.036969696969699</v>
      </c>
      <c r="Z100" s="203">
        <f>ROUND((Y100-X100)/(Y99-X99),4)</f>
        <v>1.0999999999999999E-2</v>
      </c>
      <c r="AA100" s="217">
        <f>ROUND(X100-X99*Z100,2)</f>
        <v>13.38</v>
      </c>
      <c r="AB100" s="211">
        <v>32.337575757575799</v>
      </c>
      <c r="AC100" s="212">
        <v>38.023030303030303</v>
      </c>
      <c r="AD100" s="203">
        <f>ROUND((AC100-AB100)/(AC99-AB99),4)</f>
        <v>1.03E-2</v>
      </c>
      <c r="AE100" s="217">
        <f>ROUND(AB100-AB99*AD100,2)</f>
        <v>15.86</v>
      </c>
      <c r="AF100" s="211">
        <v>37.350303030303103</v>
      </c>
      <c r="AG100" s="212">
        <v>45.460606060605997</v>
      </c>
      <c r="AH100" s="203">
        <f>ROUND((AG100-AF100)/(AG99-AF99),4)</f>
        <v>1.47E-2</v>
      </c>
      <c r="AI100" s="217">
        <f>ROUND(AF100-AF99*AH100,2)</f>
        <v>13.83</v>
      </c>
      <c r="AJ100" s="211">
        <v>41.044242424242398</v>
      </c>
      <c r="AK100" s="212">
        <v>50.002424242424198</v>
      </c>
      <c r="AL100" s="203">
        <f>ROUND((AK100-AJ100)/(AK99-AJ99),4)</f>
        <v>1.6299999999999999E-2</v>
      </c>
      <c r="AM100" s="217">
        <f>ROUND(AJ100-AJ99*AL100,2)</f>
        <v>14.96</v>
      </c>
      <c r="AN100" s="211">
        <v>41.725454545454497</v>
      </c>
      <c r="AO100" s="212">
        <v>50.879393939393999</v>
      </c>
      <c r="AP100" s="203">
        <f>ROUND((AO100-AN100)/(AO99-AN99),4)</f>
        <v>1.66E-2</v>
      </c>
      <c r="AQ100" s="217">
        <f>ROUND(AN100-AN99*AP100,2)</f>
        <v>15.17</v>
      </c>
      <c r="AR100" s="211">
        <v>43.765454545454503</v>
      </c>
      <c r="AS100" s="212">
        <v>52.922424242424199</v>
      </c>
      <c r="AT100" s="203">
        <f>ROUND((AS100-AR100)/(AS99-AR99),4)</f>
        <v>1.66E-2</v>
      </c>
      <c r="AU100" s="217">
        <f>ROUND(AR100-AR99*AT100,2)</f>
        <v>17.21</v>
      </c>
    </row>
    <row r="101" spans="1:47">
      <c r="A101" t="s">
        <v>251</v>
      </c>
      <c r="B101" s="163" t="e">
        <f>Задача_НагревательТеплоноситель</f>
        <v>#REF!</v>
      </c>
      <c r="D101" s="133">
        <v>3</v>
      </c>
      <c r="E101" s="133">
        <v>-30</v>
      </c>
      <c r="F101" s="203">
        <f>INDEX($R100:$AU114,$D101,1+VLOOKUP($B100,$B$351:$E$368,4,FALSE))</f>
        <v>1.35E-2</v>
      </c>
      <c r="G101" s="203">
        <f>INDEX($R100:$AU114,$D101,2+VLOOKUP($B100,$B$351:$E$368,4,FALSE))</f>
        <v>12.2</v>
      </c>
      <c r="H101" s="203">
        <f>INDEX($R100:$AU114,$D101,5+VLOOKUP($B100,$B$351:$E$368,4,FALSE))</f>
        <v>1.49E-2</v>
      </c>
      <c r="I101" s="203">
        <f>INDEX($R100:$AU114,$D101,6+VLOOKUP($B100,$B$351:$E$368,4,FALSE))</f>
        <v>13.66</v>
      </c>
      <c r="J101" s="203">
        <f>INDEX($R100:$AU114,$D101,9+VLOOKUP($B100,$B$351:$E$368,4,FALSE))</f>
        <v>1.49E-2</v>
      </c>
      <c r="K101" s="203">
        <f>INDEX($R100:$AU114,$D101,10+VLOOKUP($B100,$B$351:$E$368,4,FALSE))</f>
        <v>14.36</v>
      </c>
      <c r="L101" s="203">
        <f>INDEX($R100:$AU114,$D101,13+VLOOKUP($B100,$B$351:$E$368,4,FALSE))</f>
        <v>1.5299999999999999E-2</v>
      </c>
      <c r="M101" s="203">
        <f>INDEX($R100:$AU114,$D101,14+VLOOKUP($B100,$B$351:$E$368,4,FALSE))</f>
        <v>15.72</v>
      </c>
      <c r="O101" s="215">
        <v>-35</v>
      </c>
      <c r="P101" s="211">
        <v>26.393333333333299</v>
      </c>
      <c r="Q101" s="212">
        <v>31.593333333333401</v>
      </c>
      <c r="R101" s="203">
        <f>ROUND((Q101-P101)/(Q99-P99),4)</f>
        <v>9.4999999999999998E-3</v>
      </c>
      <c r="S101" s="217">
        <f>ROUND(P101-P99*R101,2)</f>
        <v>11.19</v>
      </c>
      <c r="T101" s="211">
        <v>29.366666666666699</v>
      </c>
      <c r="U101" s="212">
        <v>35.093333333333398</v>
      </c>
      <c r="V101" s="203">
        <f>ROUND((U101-T101)/(U99-T99),4)</f>
        <v>1.04E-2</v>
      </c>
      <c r="W101" s="217">
        <f>ROUND(T101-T99*V101,2)</f>
        <v>12.73</v>
      </c>
      <c r="X101" s="211">
        <v>29.633333333333301</v>
      </c>
      <c r="Y101" s="212">
        <v>35.406666666666702</v>
      </c>
      <c r="Z101" s="203">
        <f>ROUND((Y101-X101)/(Y99-X99),4)</f>
        <v>1.0500000000000001E-2</v>
      </c>
      <c r="AA101" s="217">
        <f>ROUND(X101-X99*Z101,2)</f>
        <v>12.83</v>
      </c>
      <c r="AB101" s="211">
        <v>30.933333333333302</v>
      </c>
      <c r="AC101" s="212">
        <v>36.393333333333302</v>
      </c>
      <c r="AD101" s="203">
        <f>ROUND((AC101-AB101)/(AC99-AB99),4)</f>
        <v>9.9000000000000008E-3</v>
      </c>
      <c r="AE101" s="217">
        <f>ROUND(AB101-AB99*AD101,2)</f>
        <v>15.09</v>
      </c>
      <c r="AF101" s="211">
        <v>35.593333333333398</v>
      </c>
      <c r="AG101" s="212">
        <v>43.306666666666601</v>
      </c>
      <c r="AH101" s="203">
        <f>ROUND((AG101-AF101)/(AG99-AF99),4)</f>
        <v>1.4E-2</v>
      </c>
      <c r="AI101" s="217">
        <f>ROUND(AF101-AF99*AH101,2)</f>
        <v>13.19</v>
      </c>
      <c r="AJ101" s="211">
        <v>39.286666666666697</v>
      </c>
      <c r="AK101" s="212">
        <v>47.8466666666666</v>
      </c>
      <c r="AL101" s="203">
        <f>ROUND((AK101-AJ101)/(AK99-AJ99),4)</f>
        <v>1.5599999999999999E-2</v>
      </c>
      <c r="AM101" s="217">
        <f>ROUND(AJ101-AJ99*AL101,2)</f>
        <v>14.33</v>
      </c>
      <c r="AN101" s="211">
        <v>39.96</v>
      </c>
      <c r="AO101" s="212">
        <v>48.713333333333402</v>
      </c>
      <c r="AP101" s="203">
        <f>ROUND((AO101-AN101)/(AO99-AN99),4)</f>
        <v>1.5900000000000001E-2</v>
      </c>
      <c r="AQ101" s="217">
        <f>ROUND(AN101-AN99*AP101,2)</f>
        <v>14.52</v>
      </c>
      <c r="AR101" s="211">
        <v>41.98</v>
      </c>
      <c r="AS101" s="212">
        <v>50.746666666666698</v>
      </c>
      <c r="AT101" s="203">
        <f>ROUND((AS101-AR101)/(AS99-AR99),4)</f>
        <v>1.5900000000000001E-2</v>
      </c>
      <c r="AU101" s="217">
        <f>ROUND(AR101-AR99*AT101,2)</f>
        <v>16.54</v>
      </c>
    </row>
    <row r="102" spans="1:47">
      <c r="A102" t="s">
        <v>253</v>
      </c>
      <c r="B102" s="163" t="e">
        <f>VLOOKUP("500x300",ПП_Расчет!C$10:F$19,4,0)</f>
        <v>#REF!</v>
      </c>
      <c r="D102" s="133">
        <v>4</v>
      </c>
      <c r="E102" s="133">
        <v>-25</v>
      </c>
      <c r="F102" s="203">
        <f>INDEX($R100:$AU114,$D102,1+VLOOKUP($B100,$B$351:$E$368,4,FALSE))</f>
        <v>1.2500000000000001E-2</v>
      </c>
      <c r="G102" s="203">
        <f>INDEX($R100:$AU114,$D102,2+VLOOKUP($B100,$B$351:$E$368,4,FALSE))</f>
        <v>12.1</v>
      </c>
      <c r="H102" s="203">
        <f>INDEX($R100:$AU114,$D102,5+VLOOKUP($B100,$B$351:$E$368,4,FALSE))</f>
        <v>1.4E-2</v>
      </c>
      <c r="I102" s="203">
        <f>INDEX($R100:$AU114,$D102,6+VLOOKUP($B100,$B$351:$E$368,4,FALSE))</f>
        <v>13.4</v>
      </c>
      <c r="J102" s="203">
        <f>INDEX($R100:$AU114,$D102,9+VLOOKUP($B100,$B$351:$E$368,4,FALSE))</f>
        <v>1.44E-2</v>
      </c>
      <c r="K102" s="203">
        <f>INDEX($R100:$AU114,$D102,10+VLOOKUP($B100,$B$351:$E$368,4,FALSE))</f>
        <v>13.36</v>
      </c>
      <c r="L102" s="203">
        <f>INDEX($R100:$AU114,$D102,13+VLOOKUP($B100,$B$351:$E$368,4,FALSE))</f>
        <v>1.47E-2</v>
      </c>
      <c r="M102" s="203">
        <f>INDEX($R100:$AU114,$D102,14+VLOOKUP($B100,$B$351:$E$368,4,FALSE))</f>
        <v>14.88</v>
      </c>
      <c r="O102" s="215">
        <v>-30</v>
      </c>
      <c r="P102" s="211">
        <v>25.1</v>
      </c>
      <c r="Q102" s="212">
        <v>30</v>
      </c>
      <c r="R102" s="203">
        <f>ROUND((Q102-P102)/(Q99-P99),4)</f>
        <v>8.8999999999999999E-3</v>
      </c>
      <c r="S102" s="217">
        <f>ROUND(P102-P99*R102,2)</f>
        <v>10.86</v>
      </c>
      <c r="T102" s="211">
        <v>28</v>
      </c>
      <c r="U102" s="212">
        <v>33.5</v>
      </c>
      <c r="V102" s="203">
        <f>ROUND((U102-T102)/(U99-T99),4)</f>
        <v>0.01</v>
      </c>
      <c r="W102" s="217">
        <f>ROUND(T102-T99*V102,2)</f>
        <v>12</v>
      </c>
      <c r="X102" s="211">
        <v>28.3</v>
      </c>
      <c r="Y102" s="212">
        <v>33.799999999999997</v>
      </c>
      <c r="Z102" s="203">
        <f>ROUND((Y102-X102)/(Y99-X99),4)</f>
        <v>0.01</v>
      </c>
      <c r="AA102" s="217">
        <f>ROUND(X102-X99*Z102,2)</f>
        <v>12.3</v>
      </c>
      <c r="AB102" s="211">
        <v>29.2</v>
      </c>
      <c r="AC102" s="212">
        <v>34.799999999999997</v>
      </c>
      <c r="AD102" s="203">
        <f>ROUND((AC102-AB102)/(AC99-AB99),4)</f>
        <v>1.0200000000000001E-2</v>
      </c>
      <c r="AE102" s="217">
        <f>ROUND(AB102-AB99*AD102,2)</f>
        <v>12.88</v>
      </c>
      <c r="AF102" s="211">
        <v>33.799999999999997</v>
      </c>
      <c r="AG102" s="212">
        <v>41.2</v>
      </c>
      <c r="AH102" s="203">
        <f>ROUND((AG102-AF102)/(AG99-AF99),4)</f>
        <v>1.35E-2</v>
      </c>
      <c r="AI102" s="217">
        <f>ROUND(AF102-AF99*AH102,2)</f>
        <v>12.2</v>
      </c>
      <c r="AJ102" s="211">
        <v>37.5</v>
      </c>
      <c r="AK102" s="212">
        <v>45.7</v>
      </c>
      <c r="AL102" s="203">
        <f>ROUND((AK102-AJ102)/(AK99-AJ99),4)</f>
        <v>1.49E-2</v>
      </c>
      <c r="AM102" s="217">
        <f>ROUND(AJ102-AJ99*AL102,2)</f>
        <v>13.66</v>
      </c>
      <c r="AN102" s="211">
        <v>38.200000000000003</v>
      </c>
      <c r="AO102" s="212">
        <v>46.4</v>
      </c>
      <c r="AP102" s="203">
        <f>ROUND((AO102-AN102)/(AO99-AN99),4)</f>
        <v>1.49E-2</v>
      </c>
      <c r="AQ102" s="217">
        <f>ROUND(AN102-AN99*AP102,2)</f>
        <v>14.36</v>
      </c>
      <c r="AR102" s="211">
        <v>40.200000000000003</v>
      </c>
      <c r="AS102" s="212">
        <v>48.6</v>
      </c>
      <c r="AT102" s="203">
        <f>ROUND((AS102-AR102)/(AS99-AR99),4)</f>
        <v>1.5299999999999999E-2</v>
      </c>
      <c r="AU102" s="217">
        <f>ROUND(AR102-AR99*AT102,2)</f>
        <v>15.72</v>
      </c>
    </row>
    <row r="103" spans="1:47">
      <c r="D103" s="133">
        <v>5</v>
      </c>
      <c r="E103" s="133">
        <v>-20</v>
      </c>
      <c r="F103" s="203">
        <f>INDEX($R100:$AU114,$D103,1+VLOOKUP($B100,$B$351:$E$368,4,FALSE))</f>
        <v>1.18E-2</v>
      </c>
      <c r="G103" s="203">
        <f>INDEX($R100:$AU114,$D103,2+VLOOKUP($B100,$B$351:$E$368,4,FALSE))</f>
        <v>11.42</v>
      </c>
      <c r="H103" s="203">
        <f>INDEX($R100:$AU114,$D103,5+VLOOKUP($B100,$B$351:$E$368,4,FALSE))</f>
        <v>1.35E-2</v>
      </c>
      <c r="I103" s="203">
        <f>INDEX($R100:$AU114,$D103,6+VLOOKUP($B100,$B$351:$E$368,4,FALSE))</f>
        <v>12.4</v>
      </c>
      <c r="J103" s="203">
        <f>INDEX($R100:$AU114,$D103,9+VLOOKUP($B100,$B$351:$E$368,4,FALSE))</f>
        <v>1.35E-2</v>
      </c>
      <c r="K103" s="203">
        <f>INDEX($R100:$AU114,$D103,10+VLOOKUP($B100,$B$351:$E$368,4,FALSE))</f>
        <v>13.1</v>
      </c>
      <c r="L103" s="203">
        <f>INDEX($R100:$AU114,$D103,13+VLOOKUP($B100,$B$351:$E$368,4,FALSE))</f>
        <v>1.4E-2</v>
      </c>
      <c r="M103" s="203">
        <f>INDEX($R100:$AU114,$D103,14+VLOOKUP($B100,$B$351:$E$368,4,FALSE))</f>
        <v>14.2</v>
      </c>
      <c r="O103" s="215">
        <v>-25</v>
      </c>
      <c r="P103" s="211">
        <v>23.7</v>
      </c>
      <c r="Q103" s="212">
        <v>28.3</v>
      </c>
      <c r="R103" s="203">
        <f>ROUND((Q103-P103)/(Q99-P99),4)</f>
        <v>8.3999999999999995E-3</v>
      </c>
      <c r="S103" s="217">
        <f>ROUND(P103-P99*R103,2)</f>
        <v>10.26</v>
      </c>
      <c r="T103" s="211">
        <v>26.7</v>
      </c>
      <c r="U103" s="212">
        <v>31.8</v>
      </c>
      <c r="V103" s="203">
        <f>ROUND((U103-T103)/(U99-T99),4)</f>
        <v>9.2999999999999992E-3</v>
      </c>
      <c r="W103" s="217">
        <f>ROUND(T103-T99*V103,2)</f>
        <v>11.82</v>
      </c>
      <c r="X103" s="211">
        <v>26.9</v>
      </c>
      <c r="Y103" s="212">
        <v>32.1</v>
      </c>
      <c r="Z103" s="203">
        <f>ROUND((Y103-X103)/(Y99-X99),4)</f>
        <v>9.4999999999999998E-3</v>
      </c>
      <c r="AA103" s="217">
        <f>ROUND(X103-X99*Z103,2)</f>
        <v>11.7</v>
      </c>
      <c r="AB103" s="211">
        <v>28.9</v>
      </c>
      <c r="AC103" s="212">
        <v>33.1</v>
      </c>
      <c r="AD103" s="203">
        <f>ROUND((AC103-AB103)/(AC99-AB99),4)</f>
        <v>7.6E-3</v>
      </c>
      <c r="AE103" s="217">
        <f>ROUND(AB103-AB99*AD103,2)</f>
        <v>16.739999999999998</v>
      </c>
      <c r="AF103" s="211">
        <v>32.1</v>
      </c>
      <c r="AG103" s="212">
        <v>39</v>
      </c>
      <c r="AH103" s="203">
        <f>ROUND((AG103-AF103)/(AG99-AF99),4)</f>
        <v>1.2500000000000001E-2</v>
      </c>
      <c r="AI103" s="217">
        <f>ROUND(AF103-AF99*AH103,2)</f>
        <v>12.1</v>
      </c>
      <c r="AJ103" s="211">
        <v>35.799999999999997</v>
      </c>
      <c r="AK103" s="212">
        <v>43.5</v>
      </c>
      <c r="AL103" s="203">
        <f>ROUND((AK103-AJ103)/(AK99-AJ99),4)</f>
        <v>1.4E-2</v>
      </c>
      <c r="AM103" s="217">
        <f>ROUND(AJ103-AJ99*AL103,2)</f>
        <v>13.4</v>
      </c>
      <c r="AN103" s="211">
        <v>36.4</v>
      </c>
      <c r="AO103" s="212">
        <v>44.3</v>
      </c>
      <c r="AP103" s="203">
        <f>ROUND((AO103-AN103)/(AO99-AN99),4)</f>
        <v>1.44E-2</v>
      </c>
      <c r="AQ103" s="217">
        <f>ROUND(AN103-AN99*AP103,2)</f>
        <v>13.36</v>
      </c>
      <c r="AR103" s="211">
        <v>38.4</v>
      </c>
      <c r="AS103" s="212">
        <v>46.5</v>
      </c>
      <c r="AT103" s="203">
        <f>ROUND((AS103-AR103)/(AS99-AR99),4)</f>
        <v>1.47E-2</v>
      </c>
      <c r="AU103" s="217">
        <f>ROUND(AR103-AR99*AT103,2)</f>
        <v>14.88</v>
      </c>
    </row>
    <row r="104" spans="1:47">
      <c r="A104" t="s">
        <v>66</v>
      </c>
      <c r="B104" s="163" t="e">
        <f>VLOOKUP(B102,E99:M113,VLOOKUP(B101,B$345:D$348,2,FALSE))</f>
        <v>#REF!</v>
      </c>
      <c r="D104" s="133">
        <v>6</v>
      </c>
      <c r="E104" s="133">
        <v>-15</v>
      </c>
      <c r="F104" s="203">
        <f>INDEX($R100:$AU114,$D104,1+VLOOKUP($B100,$B$351:$E$368,4,FALSE))</f>
        <v>1.11E-2</v>
      </c>
      <c r="G104" s="203">
        <f>INDEX($R100:$AU114,$D104,2+VLOOKUP($B100,$B$351:$E$368,4,FALSE))</f>
        <v>10.84</v>
      </c>
      <c r="H104" s="203">
        <f>INDEX($R100:$AU114,$D104,5+VLOOKUP($B100,$B$351:$E$368,4,FALSE))</f>
        <v>1.2500000000000001E-2</v>
      </c>
      <c r="I104" s="203">
        <f>INDEX($R100:$AU114,$D104,6+VLOOKUP($B100,$B$351:$E$368,4,FALSE))</f>
        <v>12.3</v>
      </c>
      <c r="J104" s="203">
        <f>INDEX($R100:$AU114,$D104,9+VLOOKUP($B100,$B$351:$E$368,4,FALSE))</f>
        <v>1.2699999999999999E-2</v>
      </c>
      <c r="K104" s="203">
        <f>INDEX($R100:$AU114,$D104,10+VLOOKUP($B100,$B$351:$E$368,4,FALSE))</f>
        <v>12.58</v>
      </c>
      <c r="L104" s="203">
        <f>INDEX($R100:$AU114,$D104,13+VLOOKUP($B100,$B$351:$E$368,4,FALSE))</f>
        <v>1.3299999999999999E-2</v>
      </c>
      <c r="M104" s="203">
        <f>INDEX($R100:$AU114,$D104,14+VLOOKUP($B100,$B$351:$E$368,4,FALSE))</f>
        <v>13.52</v>
      </c>
      <c r="O104" s="215">
        <v>-20</v>
      </c>
      <c r="P104" s="211">
        <v>22.4</v>
      </c>
      <c r="Q104" s="212">
        <v>26.7</v>
      </c>
      <c r="R104" s="203">
        <f>ROUND((Q104-P104)/(Q99-P99),4)</f>
        <v>7.7999999999999996E-3</v>
      </c>
      <c r="S104" s="217">
        <f>ROUND(P104-P99*R104,2)</f>
        <v>9.92</v>
      </c>
      <c r="T104" s="211">
        <v>25.3</v>
      </c>
      <c r="U104" s="212">
        <v>30.2</v>
      </c>
      <c r="V104" s="203">
        <f>ROUND((U104-T104)/(U99-T99),4)</f>
        <v>8.8999999999999999E-3</v>
      </c>
      <c r="W104" s="217">
        <f>ROUND(T104-T99*V104,2)</f>
        <v>11.06</v>
      </c>
      <c r="X104" s="211">
        <v>25.6</v>
      </c>
      <c r="Y104" s="212">
        <v>30.5</v>
      </c>
      <c r="Z104" s="203">
        <f>ROUND((Y104-X104)/(Y99-X99),4)</f>
        <v>8.8999999999999999E-3</v>
      </c>
      <c r="AA104" s="217">
        <f>ROUND(X104-X99*Z104,2)</f>
        <v>11.36</v>
      </c>
      <c r="AB104" s="211">
        <v>26.5</v>
      </c>
      <c r="AC104" s="212">
        <v>31.5</v>
      </c>
      <c r="AD104" s="203">
        <f>ROUND((AC104-AB104)/(AC99-AB99),4)</f>
        <v>9.1000000000000004E-3</v>
      </c>
      <c r="AE104" s="217">
        <f>ROUND(AB104-AB99*AD104,2)</f>
        <v>11.94</v>
      </c>
      <c r="AF104" s="211">
        <v>30.3</v>
      </c>
      <c r="AG104" s="212">
        <v>36.799999999999997</v>
      </c>
      <c r="AH104" s="203">
        <f>ROUND((AG104-AF104)/(AG99-AF99),4)</f>
        <v>1.18E-2</v>
      </c>
      <c r="AI104" s="217">
        <f>ROUND(AF104-AF99*AH104,2)</f>
        <v>11.42</v>
      </c>
      <c r="AJ104" s="211">
        <v>34</v>
      </c>
      <c r="AK104" s="212">
        <v>41.4</v>
      </c>
      <c r="AL104" s="203">
        <f>ROUND((AK104-AJ104)/(AK99-AJ99),4)</f>
        <v>1.35E-2</v>
      </c>
      <c r="AM104" s="217">
        <f>ROUND(AJ104-AJ99*AL104,2)</f>
        <v>12.4</v>
      </c>
      <c r="AN104" s="211">
        <v>34.700000000000003</v>
      </c>
      <c r="AO104" s="212">
        <v>42.1</v>
      </c>
      <c r="AP104" s="203">
        <f>ROUND((AO104-AN104)/(AO99-AN99),4)</f>
        <v>1.35E-2</v>
      </c>
      <c r="AQ104" s="217">
        <f>ROUND(AN104-AN99*AP104,2)</f>
        <v>13.1</v>
      </c>
      <c r="AR104" s="211">
        <v>36.6</v>
      </c>
      <c r="AS104" s="212">
        <v>44.3</v>
      </c>
      <c r="AT104" s="203">
        <f>ROUND((AS104-AR104)/(AS99-AR99),4)</f>
        <v>1.4E-2</v>
      </c>
      <c r="AU104" s="217">
        <f>ROUND(AR104-AR99*AT104,2)</f>
        <v>14.2</v>
      </c>
    </row>
    <row r="105" spans="1:47">
      <c r="A105" t="s">
        <v>249</v>
      </c>
      <c r="B105" s="163" t="e">
        <f>VLOOKUP(B102,E99:M113,VLOOKUP(B101,B$345:D$348,3,FALSE))</f>
        <v>#REF!</v>
      </c>
      <c r="D105" s="133">
        <v>7</v>
      </c>
      <c r="E105" s="133">
        <v>-10</v>
      </c>
      <c r="F105" s="203">
        <f>INDEX($R100:$AU114,$D105,1+VLOOKUP($B100,$B$351:$E$368,4,FALSE))</f>
        <v>1.04E-2</v>
      </c>
      <c r="G105" s="203">
        <f>INDEX($R100:$AU114,$D105,2+VLOOKUP($B100,$B$351:$E$368,4,FALSE))</f>
        <v>10.16</v>
      </c>
      <c r="H105" s="203">
        <f>INDEX($R100:$AU114,$D105,5+VLOOKUP($B100,$B$351:$E$368,4,FALSE))</f>
        <v>1.2E-2</v>
      </c>
      <c r="I105" s="203">
        <f>INDEX($R100:$AU114,$D105,6+VLOOKUP($B100,$B$351:$E$368,4,FALSE))</f>
        <v>11.3</v>
      </c>
      <c r="J105" s="203">
        <f>INDEX($R100:$AU114,$D105,9+VLOOKUP($B100,$B$351:$E$368,4,FALSE))</f>
        <v>1.4E-2</v>
      </c>
      <c r="K105" s="203">
        <f>INDEX($R100:$AU114,$D105,10+VLOOKUP($B100,$B$351:$E$368,4,FALSE))</f>
        <v>8.6999999999999993</v>
      </c>
      <c r="L105" s="203">
        <f>INDEX($R100:$AU114,$D105,13+VLOOKUP($B100,$B$351:$E$368,4,FALSE))</f>
        <v>1.1299999999999999E-2</v>
      </c>
      <c r="M105" s="203">
        <f>INDEX($R100:$AU114,$D105,14+VLOOKUP($B100,$B$351:$E$368,4,FALSE))</f>
        <v>15.02</v>
      </c>
      <c r="O105" s="215">
        <v>-15</v>
      </c>
      <c r="P105" s="211">
        <v>21</v>
      </c>
      <c r="Q105" s="212">
        <v>25.1</v>
      </c>
      <c r="R105" s="203">
        <f>ROUND((Q105-P105)/(Q99-P99),4)</f>
        <v>7.4999999999999997E-3</v>
      </c>
      <c r="S105" s="217">
        <f>ROUND(P105-P99*R105,2)</f>
        <v>9</v>
      </c>
      <c r="T105" s="211">
        <v>23.9</v>
      </c>
      <c r="U105" s="212">
        <v>28.6</v>
      </c>
      <c r="V105" s="203">
        <f>ROUND((U105-T105)/(U99-T99),4)</f>
        <v>8.5000000000000006E-3</v>
      </c>
      <c r="W105" s="217">
        <f>ROUND(T105-T99*V105,2)</f>
        <v>10.3</v>
      </c>
      <c r="X105" s="211">
        <v>24.2</v>
      </c>
      <c r="Y105" s="212">
        <v>28.9</v>
      </c>
      <c r="Z105" s="203">
        <f>ROUND((Y105-X105)/(Y99-X99),4)</f>
        <v>8.5000000000000006E-3</v>
      </c>
      <c r="AA105" s="217">
        <f>ROUND(X105-X99*Z105,2)</f>
        <v>10.6</v>
      </c>
      <c r="AB105" s="211">
        <v>25.2</v>
      </c>
      <c r="AC105" s="212">
        <v>29.9</v>
      </c>
      <c r="AD105" s="203">
        <f>ROUND((AC105-AB105)/(AC99-AB99),4)</f>
        <v>8.5000000000000006E-3</v>
      </c>
      <c r="AE105" s="217">
        <f>ROUND(AB105-AB99*AD105,2)</f>
        <v>11.6</v>
      </c>
      <c r="AF105" s="211">
        <v>28.6</v>
      </c>
      <c r="AG105" s="212">
        <v>34.700000000000003</v>
      </c>
      <c r="AH105" s="203">
        <f>ROUND((AG105-AF105)/(AG99-AF99),4)</f>
        <v>1.11E-2</v>
      </c>
      <c r="AI105" s="217">
        <f>ROUND(AF105-AF99*AH105,2)</f>
        <v>10.84</v>
      </c>
      <c r="AJ105" s="211">
        <v>32.299999999999997</v>
      </c>
      <c r="AK105" s="212">
        <v>39.200000000000003</v>
      </c>
      <c r="AL105" s="203">
        <f>ROUND((AK105-AJ105)/(AK99-AJ99),4)</f>
        <v>1.2500000000000001E-2</v>
      </c>
      <c r="AM105" s="217">
        <f>ROUND(AJ105-AJ99*AL105,2)</f>
        <v>12.3</v>
      </c>
      <c r="AN105" s="211">
        <v>32.9</v>
      </c>
      <c r="AO105" s="212">
        <v>39.9</v>
      </c>
      <c r="AP105" s="203">
        <f>ROUND((AO105-AN105)/(AO99-AN99),4)</f>
        <v>1.2699999999999999E-2</v>
      </c>
      <c r="AQ105" s="217">
        <f>ROUND(AN105-AN99*AP105,2)</f>
        <v>12.58</v>
      </c>
      <c r="AR105" s="211">
        <v>34.799999999999997</v>
      </c>
      <c r="AS105" s="212">
        <v>42.1</v>
      </c>
      <c r="AT105" s="203">
        <f>ROUND((AS105-AR105)/(AS99-AR99),4)</f>
        <v>1.3299999999999999E-2</v>
      </c>
      <c r="AU105" s="217">
        <f>ROUND(AR105-AR99*AT105,2)</f>
        <v>13.52</v>
      </c>
    </row>
    <row r="106" spans="1:47">
      <c r="D106" s="133">
        <v>8</v>
      </c>
      <c r="E106" s="133">
        <v>-5</v>
      </c>
      <c r="F106" s="203">
        <f>INDEX($R100:$AU114,$D106,1+VLOOKUP($B100,$B$351:$E$368,4,FALSE))</f>
        <v>9.5999999999999992E-3</v>
      </c>
      <c r="G106" s="203">
        <f>INDEX($R100:$AU114,$D106,2+VLOOKUP($B100,$B$351:$E$368,4,FALSE))</f>
        <v>9.74</v>
      </c>
      <c r="H106" s="203">
        <f>INDEX($R100:$AU114,$D106,5+VLOOKUP($B100,$B$351:$E$368,4,FALSE))</f>
        <v>1.1299999999999999E-2</v>
      </c>
      <c r="I106" s="203">
        <f>INDEX($R100:$AU114,$D106,6+VLOOKUP($B100,$B$351:$E$368,4,FALSE))</f>
        <v>10.62</v>
      </c>
      <c r="J106" s="203">
        <f>INDEX($R100:$AU114,$D106,9+VLOOKUP($B100,$B$351:$E$368,4,FALSE))</f>
        <v>1.1299999999999999E-2</v>
      </c>
      <c r="K106" s="203">
        <f>INDEX($R100:$AU114,$D106,10+VLOOKUP($B100,$B$351:$E$368,4,FALSE))</f>
        <v>11.32</v>
      </c>
      <c r="L106" s="203">
        <f>INDEX($R100:$AU114,$D106,13+VLOOKUP($B100,$B$351:$E$368,4,FALSE))</f>
        <v>1.18E-2</v>
      </c>
      <c r="M106" s="203">
        <f>INDEX($R100:$AU114,$D106,14+VLOOKUP($B100,$B$351:$E$368,4,FALSE))</f>
        <v>12.42</v>
      </c>
      <c r="O106" s="215">
        <v>-10</v>
      </c>
      <c r="P106" s="211">
        <v>19.7</v>
      </c>
      <c r="Q106" s="212">
        <v>23.5</v>
      </c>
      <c r="R106" s="203">
        <f>ROUND((Q106-P106)/(Q99-P99),4)</f>
        <v>6.8999999999999999E-3</v>
      </c>
      <c r="S106" s="217">
        <f>ROUND(P106-P99*R106,2)</f>
        <v>8.66</v>
      </c>
      <c r="T106" s="211">
        <v>22.6</v>
      </c>
      <c r="U106" s="212">
        <v>27</v>
      </c>
      <c r="V106" s="203">
        <f>ROUND((U106-T106)/(U99-T99),4)</f>
        <v>8.0000000000000002E-3</v>
      </c>
      <c r="W106" s="217">
        <f>ROUND(T106-T99*V106,2)</f>
        <v>9.8000000000000007</v>
      </c>
      <c r="X106" s="211">
        <v>22.9</v>
      </c>
      <c r="Y106" s="212">
        <v>27.3</v>
      </c>
      <c r="Z106" s="203">
        <f>ROUND((Y106-X106)/(Y99-X99),4)</f>
        <v>8.0000000000000002E-3</v>
      </c>
      <c r="AA106" s="217">
        <f>ROUND(X106-X99*Z106,2)</f>
        <v>10.1</v>
      </c>
      <c r="AB106" s="211">
        <v>23.8</v>
      </c>
      <c r="AC106" s="212">
        <v>28.2</v>
      </c>
      <c r="AD106" s="203">
        <f>ROUND((AC106-AB106)/(AC99-AB99),4)</f>
        <v>8.0000000000000002E-3</v>
      </c>
      <c r="AE106" s="217">
        <f>ROUND(AB106-AB99*AD106,2)</f>
        <v>11</v>
      </c>
      <c r="AF106" s="211">
        <v>26.8</v>
      </c>
      <c r="AG106" s="212">
        <v>32.5</v>
      </c>
      <c r="AH106" s="203">
        <f>ROUND((AG106-AF106)/(AG99-AF99),4)</f>
        <v>1.04E-2</v>
      </c>
      <c r="AI106" s="217">
        <f>ROUND(AF106-AF99*AH106,2)</f>
        <v>10.16</v>
      </c>
      <c r="AJ106" s="211">
        <v>30.5</v>
      </c>
      <c r="AK106" s="212">
        <v>37.1</v>
      </c>
      <c r="AL106" s="203">
        <f>ROUND((AK106-AJ106)/(AK99-AJ99),4)</f>
        <v>1.2E-2</v>
      </c>
      <c r="AM106" s="217">
        <f>ROUND(AJ106-AJ99*AL106,2)</f>
        <v>11.3</v>
      </c>
      <c r="AN106" s="211">
        <v>31.1</v>
      </c>
      <c r="AO106" s="212">
        <v>38.799999999999997</v>
      </c>
      <c r="AP106" s="203">
        <f>ROUND((AO106-AN106)/(AO99-AN99),4)</f>
        <v>1.4E-2</v>
      </c>
      <c r="AQ106" s="217">
        <f>ROUND(AN106-AN99*AP106,2)</f>
        <v>8.6999999999999993</v>
      </c>
      <c r="AR106" s="211">
        <v>33.1</v>
      </c>
      <c r="AS106" s="212">
        <v>39.299999999999997</v>
      </c>
      <c r="AT106" s="203">
        <f>ROUND((AS106-AR106)/(AS99-AR99),4)</f>
        <v>1.1299999999999999E-2</v>
      </c>
      <c r="AU106" s="217">
        <f>ROUND(AR106-AR99*AT106,2)</f>
        <v>15.02</v>
      </c>
    </row>
    <row r="107" spans="1:47">
      <c r="A107" t="s">
        <v>254</v>
      </c>
      <c r="B107" s="163" t="e">
        <f>B99*B104+B105</f>
        <v>#REF!</v>
      </c>
      <c r="D107" s="133">
        <v>9</v>
      </c>
      <c r="E107" s="133">
        <v>0</v>
      </c>
      <c r="F107" s="203">
        <f>INDEX($R100:$AU114,$D107,1+VLOOKUP($B100,$B$351:$E$368,4,FALSE))</f>
        <v>8.8999999999999999E-3</v>
      </c>
      <c r="G107" s="203">
        <f>INDEX($R100:$AU114,$D107,2+VLOOKUP($B100,$B$351:$E$368,4,FALSE))</f>
        <v>9.06</v>
      </c>
      <c r="H107" s="203">
        <f>INDEX($R100:$AU114,$D107,5+VLOOKUP($B100,$B$351:$E$368,4,FALSE))</f>
        <v>1.0500000000000001E-2</v>
      </c>
      <c r="I107" s="203">
        <f>INDEX($R100:$AU114,$D107,6+VLOOKUP($B100,$B$351:$E$368,4,FALSE))</f>
        <v>10.199999999999999</v>
      </c>
      <c r="J107" s="203">
        <f>INDEX($R100:$AU114,$D107,9+VLOOKUP($B100,$B$351:$E$368,4,FALSE))</f>
        <v>1.0699999999999999E-2</v>
      </c>
      <c r="K107" s="203">
        <f>INDEX($R100:$AU114,$D107,10+VLOOKUP($B100,$B$351:$E$368,4,FALSE))</f>
        <v>10.48</v>
      </c>
      <c r="L107" s="203">
        <f>INDEX($R100:$AU114,$D107,13+VLOOKUP($B100,$B$351:$E$368,4,FALSE))</f>
        <v>1.11E-2</v>
      </c>
      <c r="M107" s="203">
        <f>INDEX($R100:$AU114,$D107,14+VLOOKUP($B100,$B$351:$E$368,4,FALSE))</f>
        <v>11.74</v>
      </c>
      <c r="O107" s="215">
        <v>-5</v>
      </c>
      <c r="P107" s="211">
        <v>18.3</v>
      </c>
      <c r="Q107" s="212">
        <v>21.8</v>
      </c>
      <c r="R107" s="203">
        <f>ROUND((Q107-P107)/(Q99-P99),4)</f>
        <v>6.4000000000000003E-3</v>
      </c>
      <c r="S107" s="217">
        <f>ROUND(P107-P99*R107,2)</f>
        <v>8.06</v>
      </c>
      <c r="T107" s="211">
        <v>21.2</v>
      </c>
      <c r="U107" s="212">
        <v>25.3</v>
      </c>
      <c r="V107" s="203">
        <f>ROUND((U107-T107)/(U99-T99),4)</f>
        <v>7.4999999999999997E-3</v>
      </c>
      <c r="W107" s="217">
        <f>ROUND(T107-T99*V107,2)</f>
        <v>9.1999999999999993</v>
      </c>
      <c r="X107" s="211">
        <v>21.5</v>
      </c>
      <c r="Y107" s="212">
        <v>25.6</v>
      </c>
      <c r="Z107" s="203">
        <f>ROUND((Y107-X107)/(Y99-X99),4)</f>
        <v>7.4999999999999997E-3</v>
      </c>
      <c r="AA107" s="217">
        <f>ROUND(X107-X99*Z107,2)</f>
        <v>9.5</v>
      </c>
      <c r="AB107" s="211">
        <v>22.4</v>
      </c>
      <c r="AC107" s="212">
        <v>26.6</v>
      </c>
      <c r="AD107" s="203">
        <f>ROUND((AC107-AB107)/(AC99-AB99),4)</f>
        <v>7.6E-3</v>
      </c>
      <c r="AE107" s="217">
        <f>ROUND(AB107-AB99*AD107,2)</f>
        <v>10.24</v>
      </c>
      <c r="AF107" s="211">
        <v>25.1</v>
      </c>
      <c r="AG107" s="212">
        <v>30.4</v>
      </c>
      <c r="AH107" s="203">
        <f>ROUND((AG107-AF107)/(AG99-AF99),4)</f>
        <v>9.5999999999999992E-3</v>
      </c>
      <c r="AI107" s="217">
        <f>ROUND(AF107-AF99*AH107,2)</f>
        <v>9.74</v>
      </c>
      <c r="AJ107" s="211">
        <v>28.7</v>
      </c>
      <c r="AK107" s="212">
        <v>34.9</v>
      </c>
      <c r="AL107" s="203">
        <f>ROUND((AK107-AJ107)/(AK99-AJ99),4)</f>
        <v>1.1299999999999999E-2</v>
      </c>
      <c r="AM107" s="217">
        <f>ROUND(AJ107-AJ99*AL107,2)</f>
        <v>10.62</v>
      </c>
      <c r="AN107" s="211">
        <v>29.4</v>
      </c>
      <c r="AO107" s="212">
        <v>35.6</v>
      </c>
      <c r="AP107" s="203">
        <f>ROUND((AO107-AN107)/(AO99-AN99),4)</f>
        <v>1.1299999999999999E-2</v>
      </c>
      <c r="AQ107" s="217">
        <f>ROUND(AN107-AN99*AP107,2)</f>
        <v>11.32</v>
      </c>
      <c r="AR107" s="211">
        <v>31.3</v>
      </c>
      <c r="AS107" s="212">
        <v>37.799999999999997</v>
      </c>
      <c r="AT107" s="203">
        <f>ROUND((AS107-AR107)/(AS99-AR99),4)</f>
        <v>1.18E-2</v>
      </c>
      <c r="AU107" s="217">
        <f>ROUND(AR107-AR99*AT107,2)</f>
        <v>12.42</v>
      </c>
    </row>
    <row r="108" spans="1:47">
      <c r="A108" t="s">
        <v>255</v>
      </c>
      <c r="B108" s="163" t="e">
        <f>ROUND(B107/(0.000335*B99),1)+B102</f>
        <v>#REF!</v>
      </c>
      <c r="D108" s="133">
        <v>10</v>
      </c>
      <c r="E108" s="133">
        <v>5</v>
      </c>
      <c r="F108" s="203">
        <f>INDEX($R100:$AU114,$D108,1+VLOOKUP($B100,$B$351:$E$368,4,FALSE))</f>
        <v>8.3999999999999995E-3</v>
      </c>
      <c r="G108" s="203">
        <f>INDEX($R100:$AU114,$D108,2+VLOOKUP($B100,$B$351:$E$368,4,FALSE))</f>
        <v>8.06</v>
      </c>
      <c r="H108" s="203">
        <f>INDEX($R100:$AU114,$D108,5+VLOOKUP($B100,$B$351:$E$368,4,FALSE))</f>
        <v>9.7999999999999997E-3</v>
      </c>
      <c r="I108" s="203">
        <f>INDEX($R100:$AU114,$D108,6+VLOOKUP($B100,$B$351:$E$368,4,FALSE))</f>
        <v>9.52</v>
      </c>
      <c r="J108" s="203">
        <f>INDEX($R100:$AU114,$D108,9+VLOOKUP($B100,$B$351:$E$368,4,FALSE))</f>
        <v>0.01</v>
      </c>
      <c r="K108" s="203">
        <f>INDEX($R100:$AU114,$D108,10+VLOOKUP($B100,$B$351:$E$368,4,FALSE))</f>
        <v>9.8000000000000007</v>
      </c>
      <c r="L108" s="203">
        <f>INDEX($R100:$AU114,$D108,13+VLOOKUP($B100,$B$351:$E$368,4,FALSE))</f>
        <v>1.04E-2</v>
      </c>
      <c r="M108" s="203">
        <f>INDEX($R100:$AU114,$D108,14+VLOOKUP($B100,$B$351:$E$368,4,FALSE))</f>
        <v>11.06</v>
      </c>
      <c r="O108" s="215">
        <v>0</v>
      </c>
      <c r="P108" s="211">
        <v>17</v>
      </c>
      <c r="Q108" s="212">
        <v>20.2</v>
      </c>
      <c r="R108" s="203">
        <f>ROUND((Q108-P108)/(Q99-P99),4)</f>
        <v>5.7999999999999996E-3</v>
      </c>
      <c r="S108" s="217">
        <f>ROUND(P108-P99*R108,2)</f>
        <v>7.72</v>
      </c>
      <c r="T108" s="211">
        <v>19.899999999999999</v>
      </c>
      <c r="U108" s="212">
        <v>23.7</v>
      </c>
      <c r="V108" s="203">
        <f>ROUND((U108-T108)/(U99-T99),4)</f>
        <v>6.8999999999999999E-3</v>
      </c>
      <c r="W108" s="217">
        <f>ROUND(T108-T99*V108,2)</f>
        <v>8.86</v>
      </c>
      <c r="X108" s="211">
        <v>20.2</v>
      </c>
      <c r="Y108" s="212">
        <v>24</v>
      </c>
      <c r="Z108" s="203">
        <f>ROUND((Y108-X108)/(Y99-X99),4)</f>
        <v>6.8999999999999999E-3</v>
      </c>
      <c r="AA108" s="217">
        <f>ROUND(X108-X99*Z108,2)</f>
        <v>9.16</v>
      </c>
      <c r="AB108" s="211">
        <v>21.1</v>
      </c>
      <c r="AC108" s="212">
        <v>25</v>
      </c>
      <c r="AD108" s="203">
        <f>ROUND((AC108-AB108)/(AC99-AB99),4)</f>
        <v>7.1000000000000004E-3</v>
      </c>
      <c r="AE108" s="217">
        <f>ROUND(AB108-AB99*AD108,2)</f>
        <v>9.74</v>
      </c>
      <c r="AF108" s="211">
        <v>23.3</v>
      </c>
      <c r="AG108" s="212">
        <v>28.2</v>
      </c>
      <c r="AH108" s="203">
        <f>ROUND((AG108-AF108)/(AG99-AF99),4)</f>
        <v>8.8999999999999999E-3</v>
      </c>
      <c r="AI108" s="217">
        <f>ROUND(AF108-AF99*AH108,2)</f>
        <v>9.06</v>
      </c>
      <c r="AJ108" s="211">
        <v>27</v>
      </c>
      <c r="AK108" s="212">
        <v>32.799999999999997</v>
      </c>
      <c r="AL108" s="203">
        <f>ROUND((AK108-AJ108)/(AK99-AJ99),4)</f>
        <v>1.0500000000000001E-2</v>
      </c>
      <c r="AM108" s="217">
        <f>ROUND(AJ108-AJ99*AL108,2)</f>
        <v>10.199999999999999</v>
      </c>
      <c r="AN108" s="211">
        <v>27.6</v>
      </c>
      <c r="AO108" s="212">
        <v>33.5</v>
      </c>
      <c r="AP108" s="203">
        <f>ROUND((AO108-AN108)/(AO99-AN99),4)</f>
        <v>1.0699999999999999E-2</v>
      </c>
      <c r="AQ108" s="217">
        <f>ROUND(AN108-AN99*AP108,2)</f>
        <v>10.48</v>
      </c>
      <c r="AR108" s="211">
        <v>29.5</v>
      </c>
      <c r="AS108" s="212">
        <v>35.6</v>
      </c>
      <c r="AT108" s="203">
        <f>ROUND((AS108-AR108)/(AS99-AR99),4)</f>
        <v>1.11E-2</v>
      </c>
      <c r="AU108" s="217">
        <f>ROUND(AR108-AR99*AT108,2)</f>
        <v>11.74</v>
      </c>
    </row>
    <row r="109" spans="1:47">
      <c r="D109" s="133">
        <v>11</v>
      </c>
      <c r="E109" s="133">
        <v>10</v>
      </c>
      <c r="F109" s="203">
        <f>INDEX($R100:$AU114,$D109,1+VLOOKUP($B100,$B$351:$E$368,4,FALSE))</f>
        <v>7.4999999999999997E-3</v>
      </c>
      <c r="G109" s="203">
        <f>INDEX($R100:$AU114,$D109,2+VLOOKUP($B100,$B$351:$E$368,4,FALSE))</f>
        <v>7.8</v>
      </c>
      <c r="H109" s="203">
        <f>INDEX($R100:$AU114,$D109,5+VLOOKUP($B100,$B$351:$E$368,4,FALSE))</f>
        <v>8.8999999999999999E-3</v>
      </c>
      <c r="I109" s="203">
        <f>INDEX($R100:$AU114,$D109,6+VLOOKUP($B100,$B$351:$E$368,4,FALSE))</f>
        <v>9.26</v>
      </c>
      <c r="J109" s="203">
        <f>INDEX($R100:$AU114,$D109,9+VLOOKUP($B100,$B$351:$E$368,4,FALSE))</f>
        <v>9.1000000000000004E-3</v>
      </c>
      <c r="K109" s="203">
        <f>INDEX($R100:$AU114,$D109,10+VLOOKUP($B100,$B$351:$E$368,4,FALSE))</f>
        <v>9.5399999999999991</v>
      </c>
      <c r="L109" s="203">
        <f>INDEX($R100:$AU114,$D109,13+VLOOKUP($B100,$B$351:$E$368,4,FALSE))</f>
        <v>9.5999999999999992E-3</v>
      </c>
      <c r="M109" s="203">
        <f>INDEX($R100:$AU114,$D109,14+VLOOKUP($B100,$B$351:$E$368,4,FALSE))</f>
        <v>10.54</v>
      </c>
      <c r="O109" s="215">
        <v>5</v>
      </c>
      <c r="P109" s="211">
        <v>15.6</v>
      </c>
      <c r="Q109" s="212">
        <v>18.600000000000001</v>
      </c>
      <c r="R109" s="203">
        <f>ROUND((Q109-P109)/(Q99-P99),4)</f>
        <v>5.4999999999999997E-3</v>
      </c>
      <c r="S109" s="217">
        <f>ROUND(P109-P99*R109,2)</f>
        <v>6.8</v>
      </c>
      <c r="T109" s="211">
        <v>18.5</v>
      </c>
      <c r="U109" s="212">
        <v>22.1</v>
      </c>
      <c r="V109" s="203">
        <f>ROUND((U109-T109)/(U99-T99),4)</f>
        <v>6.4999999999999997E-3</v>
      </c>
      <c r="W109" s="217">
        <f>ROUND(T109-T99*V109,2)</f>
        <v>8.1</v>
      </c>
      <c r="X109" s="211">
        <v>18.8</v>
      </c>
      <c r="Y109" s="212">
        <v>22.4</v>
      </c>
      <c r="Z109" s="203">
        <f>ROUND((Y109-X109)/(Y99-X99),4)</f>
        <v>6.4999999999999997E-3</v>
      </c>
      <c r="AA109" s="217">
        <f>ROUND(X109-X99*Z109,2)</f>
        <v>8.4</v>
      </c>
      <c r="AB109" s="211">
        <v>19.7</v>
      </c>
      <c r="AC109" s="212">
        <v>23.4</v>
      </c>
      <c r="AD109" s="203">
        <f>ROUND((AC109-AB109)/(AC99-AB99),4)</f>
        <v>6.7000000000000002E-3</v>
      </c>
      <c r="AE109" s="217">
        <f>ROUND(AB109-AB99*AD109,2)</f>
        <v>8.98</v>
      </c>
      <c r="AF109" s="211">
        <v>21.5</v>
      </c>
      <c r="AG109" s="212">
        <v>26.1</v>
      </c>
      <c r="AH109" s="203">
        <f>ROUND((AG109-AF109)/(AG99-AF99),4)</f>
        <v>8.3999999999999995E-3</v>
      </c>
      <c r="AI109" s="217">
        <f>ROUND(AF109-AF99*AH109,2)</f>
        <v>8.06</v>
      </c>
      <c r="AJ109" s="211">
        <v>25.2</v>
      </c>
      <c r="AK109" s="212">
        <v>30.6</v>
      </c>
      <c r="AL109" s="203">
        <f>ROUND((AK109-AJ109)/(AK99-AJ99),4)</f>
        <v>9.7999999999999997E-3</v>
      </c>
      <c r="AM109" s="217">
        <f>ROUND(AJ109-AJ99*AL109,2)</f>
        <v>9.52</v>
      </c>
      <c r="AN109" s="211">
        <v>25.8</v>
      </c>
      <c r="AO109" s="212">
        <v>31.3</v>
      </c>
      <c r="AP109" s="203">
        <f>ROUND((AO109-AN109)/(AO99-AN99),4)</f>
        <v>0.01</v>
      </c>
      <c r="AQ109" s="217">
        <f>ROUND(AN109-AN99*AP109,2)</f>
        <v>9.8000000000000007</v>
      </c>
      <c r="AR109" s="211">
        <v>27.7</v>
      </c>
      <c r="AS109" s="212">
        <v>33.4</v>
      </c>
      <c r="AT109" s="203">
        <f>ROUND((AS109-AR109)/(AS99-AR99),4)</f>
        <v>1.04E-2</v>
      </c>
      <c r="AU109" s="217">
        <f>ROUND(AR109-AR99*AT109,2)</f>
        <v>11.06</v>
      </c>
    </row>
    <row r="110" spans="1:47">
      <c r="A110" t="s">
        <v>256</v>
      </c>
      <c r="B110" s="163" t="e">
        <f>ROUND(B107/(4183*VLOOKUP(B101,B$345:E$348,4,FALSE))*3600,2)</f>
        <v>#REF!</v>
      </c>
      <c r="D110" s="133">
        <v>12</v>
      </c>
      <c r="E110" s="133">
        <v>15</v>
      </c>
      <c r="F110" s="203">
        <f>INDEX($R100:$AU114,$D110,1+VLOOKUP($B100,$B$351:$E$368,4,FALSE))</f>
        <v>6.8999999999999999E-3</v>
      </c>
      <c r="G110" s="203">
        <f>INDEX($R100:$AU114,$D110,2+VLOOKUP($B100,$B$351:$E$368,4,FALSE))</f>
        <v>6.96</v>
      </c>
      <c r="H110" s="203">
        <f>INDEX($R100:$AU114,$D110,5+VLOOKUP($B100,$B$351:$E$368,4,FALSE))</f>
        <v>8.3999999999999995E-3</v>
      </c>
      <c r="I110" s="203">
        <f>INDEX($R100:$AU114,$D110,6+VLOOKUP($B100,$B$351:$E$368,4,FALSE))</f>
        <v>8.26</v>
      </c>
      <c r="J110" s="203">
        <f>INDEX($R100:$AU114,$D110,9+VLOOKUP($B100,$B$351:$E$368,4,FALSE))</f>
        <v>8.5000000000000006E-3</v>
      </c>
      <c r="K110" s="203">
        <f>INDEX($R100:$AU114,$D110,10+VLOOKUP($B100,$B$351:$E$368,4,FALSE))</f>
        <v>8.6999999999999993</v>
      </c>
      <c r="L110" s="203">
        <f>INDEX($R100:$AU114,$D110,13+VLOOKUP($B100,$B$351:$E$368,4,FALSE))</f>
        <v>8.8999999999999999E-3</v>
      </c>
      <c r="M110" s="203">
        <f>INDEX($R100:$AU114,$D110,14+VLOOKUP($B100,$B$351:$E$368,4,FALSE))</f>
        <v>9.86</v>
      </c>
      <c r="O110" s="215">
        <v>10</v>
      </c>
      <c r="P110" s="211">
        <v>14.6</v>
      </c>
      <c r="Q110" s="212">
        <v>17</v>
      </c>
      <c r="R110" s="203">
        <f>ROUND((Q110-P110)/(Q99-P99),4)</f>
        <v>4.4000000000000003E-3</v>
      </c>
      <c r="S110" s="217">
        <f>ROUND(P110-P99*R110,2)</f>
        <v>7.56</v>
      </c>
      <c r="T110" s="211">
        <v>17.2</v>
      </c>
      <c r="U110" s="212">
        <v>20.5</v>
      </c>
      <c r="V110" s="203">
        <f>ROUND((U110-T110)/(U99-T99),4)</f>
        <v>6.0000000000000001E-3</v>
      </c>
      <c r="W110" s="217">
        <f>ROUND(T110-T99*V110,2)</f>
        <v>7.6</v>
      </c>
      <c r="X110" s="211">
        <v>17.5</v>
      </c>
      <c r="Y110" s="212">
        <v>20.7</v>
      </c>
      <c r="Z110" s="203">
        <f>ROUND((Y110-X110)/(Y99-X99),4)</f>
        <v>5.7999999999999996E-3</v>
      </c>
      <c r="AA110" s="217">
        <f>ROUND(X110-X99*Z110,2)</f>
        <v>8.2200000000000006</v>
      </c>
      <c r="AB110" s="211">
        <v>18.3</v>
      </c>
      <c r="AC110" s="212">
        <v>21.7</v>
      </c>
      <c r="AD110" s="203">
        <f>ROUND((AC110-AB110)/(AC99-AB99),4)</f>
        <v>6.1999999999999998E-3</v>
      </c>
      <c r="AE110" s="217">
        <f>ROUND(AB110-AB99*AD110,2)</f>
        <v>8.3800000000000008</v>
      </c>
      <c r="AF110" s="211">
        <v>19.8</v>
      </c>
      <c r="AG110" s="212">
        <v>23.9</v>
      </c>
      <c r="AH110" s="203">
        <f>ROUND((AG110-AF110)/(AG99-AF99),4)</f>
        <v>7.4999999999999997E-3</v>
      </c>
      <c r="AI110" s="217">
        <f>ROUND(AF110-AF99*AH110,2)</f>
        <v>7.8</v>
      </c>
      <c r="AJ110" s="211">
        <v>23.5</v>
      </c>
      <c r="AK110" s="212">
        <v>28.4</v>
      </c>
      <c r="AL110" s="203">
        <f>ROUND((AK110-AJ110)/(AK99-AJ99),4)</f>
        <v>8.8999999999999999E-3</v>
      </c>
      <c r="AM110" s="217">
        <f>ROUND(AJ110-AJ99*AL110,2)</f>
        <v>9.26</v>
      </c>
      <c r="AN110" s="211">
        <v>24.1</v>
      </c>
      <c r="AO110" s="212">
        <v>29.1</v>
      </c>
      <c r="AP110" s="203">
        <f>ROUND((AO110-AN110)/(AO99-AN99),4)</f>
        <v>9.1000000000000004E-3</v>
      </c>
      <c r="AQ110" s="217">
        <f>ROUND(AN110-AN99*AP110,2)</f>
        <v>9.5399999999999991</v>
      </c>
      <c r="AR110" s="211">
        <v>25.9</v>
      </c>
      <c r="AS110" s="212">
        <v>31.2</v>
      </c>
      <c r="AT110" s="203">
        <f>ROUND((AS110-AR110)/(AS99-AR99),4)</f>
        <v>9.5999999999999992E-3</v>
      </c>
      <c r="AU110" s="217">
        <f>ROUND(AR110-AR99*AT110,2)</f>
        <v>10.54</v>
      </c>
    </row>
    <row r="111" spans="1:47">
      <c r="A111" t="s">
        <v>257</v>
      </c>
      <c r="B111" s="163" t="e">
        <f>ROUND(100*POWER(B110/VLOOKUP(B100,B$351:C$368,2,FALSE),2),1)</f>
        <v>#REF!</v>
      </c>
      <c r="D111" s="133">
        <v>13</v>
      </c>
      <c r="E111" s="133">
        <v>20</v>
      </c>
      <c r="F111" s="203">
        <f>INDEX($R100:$AU114,$D111,1+VLOOKUP($B100,$B$351:$E$368,4,FALSE))</f>
        <v>6.1000000000000004E-3</v>
      </c>
      <c r="G111" s="203">
        <f>INDEX($R100:$AU114,$D111,2+VLOOKUP($B100,$B$351:$E$368,4,FALSE))</f>
        <v>6.51</v>
      </c>
      <c r="H111" s="203">
        <f>INDEX($R100:$AU114,$D111,5+VLOOKUP($B100,$B$351:$E$368,4,FALSE))</f>
        <v>7.6E-3</v>
      </c>
      <c r="I111" s="203">
        <f>INDEX($R100:$AU114,$D111,6+VLOOKUP($B100,$B$351:$E$368,4,FALSE))</f>
        <v>7.79</v>
      </c>
      <c r="J111" s="203">
        <f>INDEX($R100:$AU114,$D111,9+VLOOKUP($B100,$B$351:$E$368,4,FALSE))</f>
        <v>7.9000000000000008E-3</v>
      </c>
      <c r="K111" s="203">
        <f>INDEX($R100:$AU114,$D111,10+VLOOKUP($B100,$B$351:$E$368,4,FALSE))</f>
        <v>7.9</v>
      </c>
      <c r="L111" s="203">
        <f>INDEX($R100:$AU114,$D111,13+VLOOKUP($B100,$B$351:$E$368,4,FALSE))</f>
        <v>8.0999999999999996E-3</v>
      </c>
      <c r="M111" s="203">
        <f>INDEX($R100:$AU114,$D111,14+VLOOKUP($B100,$B$351:$E$368,4,FALSE))</f>
        <v>9.3800000000000008</v>
      </c>
      <c r="O111" s="215">
        <v>15</v>
      </c>
      <c r="P111" s="211">
        <v>12.9</v>
      </c>
      <c r="Q111" s="212">
        <v>15.3</v>
      </c>
      <c r="R111" s="203">
        <f>ROUND((Q111-P111)/(Q99-P99),4)</f>
        <v>4.4000000000000003E-3</v>
      </c>
      <c r="S111" s="217">
        <f>ROUND(P111-P99*R111,2)</f>
        <v>5.86</v>
      </c>
      <c r="T111" s="211">
        <v>15.8</v>
      </c>
      <c r="U111" s="212">
        <v>18.8</v>
      </c>
      <c r="V111" s="203">
        <f>ROUND((U111-T111)/(U99-T99),4)</f>
        <v>5.4999999999999997E-3</v>
      </c>
      <c r="W111" s="217">
        <f>ROUND(T111-T99*V111,2)</f>
        <v>7</v>
      </c>
      <c r="X111" s="211">
        <v>16.100000000000001</v>
      </c>
      <c r="Y111" s="212">
        <v>19.100000000000001</v>
      </c>
      <c r="Z111" s="203">
        <f>ROUND((Y111-X111)/(Y99-X99),4)</f>
        <v>5.4999999999999997E-3</v>
      </c>
      <c r="AA111" s="217">
        <f>ROUND(X111-X99*Z111,2)</f>
        <v>7.3</v>
      </c>
      <c r="AB111" s="211">
        <v>17</v>
      </c>
      <c r="AC111" s="212">
        <v>20.100000000000001</v>
      </c>
      <c r="AD111" s="203">
        <f>ROUND((AC111-AB111)/(AC99-AB99),4)</f>
        <v>5.5999999999999999E-3</v>
      </c>
      <c r="AE111" s="217">
        <f>ROUND(AB111-AB99*AD111,2)</f>
        <v>8.0399999999999991</v>
      </c>
      <c r="AF111" s="211">
        <v>18</v>
      </c>
      <c r="AG111" s="212">
        <v>21.8</v>
      </c>
      <c r="AH111" s="203">
        <f>ROUND((AG111-AF111)/(AG99-AF99),4)</f>
        <v>6.8999999999999999E-3</v>
      </c>
      <c r="AI111" s="217">
        <f>ROUND(AF111-AF99*AH111,2)</f>
        <v>6.96</v>
      </c>
      <c r="AJ111" s="211">
        <v>21.7</v>
      </c>
      <c r="AK111" s="212">
        <v>26.3</v>
      </c>
      <c r="AL111" s="203">
        <f>ROUND((AK111-AJ111)/(AK99-AJ99),4)</f>
        <v>8.3999999999999995E-3</v>
      </c>
      <c r="AM111" s="217">
        <f>ROUND(AJ111-AJ99*AL111,2)</f>
        <v>8.26</v>
      </c>
      <c r="AN111" s="211">
        <v>22.3</v>
      </c>
      <c r="AO111" s="212">
        <v>27</v>
      </c>
      <c r="AP111" s="203">
        <f>ROUND((AO111-AN111)/(AO99-AN99),4)</f>
        <v>8.5000000000000006E-3</v>
      </c>
      <c r="AQ111" s="217">
        <f>ROUND(AN111-AN99*AP111,2)</f>
        <v>8.6999999999999993</v>
      </c>
      <c r="AR111" s="211">
        <v>24.1</v>
      </c>
      <c r="AS111" s="212">
        <v>29</v>
      </c>
      <c r="AT111" s="203">
        <f>ROUND((AS111-AR111)/(AS99-AR99),4)</f>
        <v>8.8999999999999999E-3</v>
      </c>
      <c r="AU111" s="217">
        <f>ROUND(AR111-AR99*AT111,2)</f>
        <v>9.86</v>
      </c>
    </row>
    <row r="112" spans="1:47">
      <c r="D112" s="133">
        <v>14</v>
      </c>
      <c r="E112" s="133">
        <v>25</v>
      </c>
      <c r="F112" s="203">
        <f>INDEX($R100:$AU114,$D112,1+VLOOKUP($B100,$B$351:$E$368,4,FALSE))</f>
        <v>5.4000000000000003E-3</v>
      </c>
      <c r="G112" s="203">
        <f>INDEX($R100:$AU114,$D112,2+VLOOKUP($B100,$B$351:$E$368,4,FALSE))</f>
        <v>5.87</v>
      </c>
      <c r="H112" s="203">
        <f>INDEX($R100:$AU114,$D112,5+VLOOKUP($B100,$B$351:$E$368,4,FALSE))</f>
        <v>6.8999999999999999E-3</v>
      </c>
      <c r="I112" s="203">
        <f>INDEX($R100:$AU114,$D112,6+VLOOKUP($B100,$B$351:$E$368,4,FALSE))</f>
        <v>7.16</v>
      </c>
      <c r="J112" s="203">
        <f>INDEX($R100:$AU114,$D112,9+VLOOKUP($B100,$B$351:$E$368,4,FALSE))</f>
        <v>7.1999999999999998E-3</v>
      </c>
      <c r="K112" s="203">
        <f>INDEX($R100:$AU114,$D112,10+VLOOKUP($B100,$B$351:$E$368,4,FALSE))</f>
        <v>7.25</v>
      </c>
      <c r="L112" s="203">
        <f>INDEX($R100:$AU114,$D112,13+VLOOKUP($B100,$B$351:$E$368,4,FALSE))</f>
        <v>7.4000000000000003E-3</v>
      </c>
      <c r="M112" s="203">
        <f>INDEX($R100:$AU114,$D112,14+VLOOKUP($B100,$B$351:$E$368,4,FALSE))</f>
        <v>8.7100000000000009</v>
      </c>
      <c r="O112" s="215">
        <v>20</v>
      </c>
      <c r="P112" s="211">
        <v>11.6666666666667</v>
      </c>
      <c r="Q112" s="212">
        <v>13.706666666666599</v>
      </c>
      <c r="R112" s="203">
        <f>ROUND((Q112-P112)/(Q99-P99),4)</f>
        <v>3.7000000000000002E-3</v>
      </c>
      <c r="S112" s="217">
        <f>ROUND(P112-P99*R112,2)</f>
        <v>5.75</v>
      </c>
      <c r="T112" s="211">
        <v>14.453333333333299</v>
      </c>
      <c r="U112" s="212">
        <v>17.206666666666599</v>
      </c>
      <c r="V112" s="203">
        <f>ROUND((U112-T112)/(U99-T99),4)</f>
        <v>5.0000000000000001E-3</v>
      </c>
      <c r="W112" s="217">
        <f>ROUND(T112-T99*V112,2)</f>
        <v>6.45</v>
      </c>
      <c r="X112" s="211">
        <v>14.766666666666699</v>
      </c>
      <c r="Y112" s="212">
        <v>17.473333333333301</v>
      </c>
      <c r="Z112" s="203">
        <f>ROUND((Y112-X112)/(Y99-X99),4)</f>
        <v>4.8999999999999998E-3</v>
      </c>
      <c r="AA112" s="217">
        <f>ROUND(X112-X99*Z112,2)</f>
        <v>6.93</v>
      </c>
      <c r="AB112" s="211">
        <v>15.4866666666667</v>
      </c>
      <c r="AC112" s="212">
        <v>18.466666666666701</v>
      </c>
      <c r="AD112" s="203">
        <f>ROUND((AC112-AB112)/(AC99-AB99),4)</f>
        <v>5.4000000000000003E-3</v>
      </c>
      <c r="AE112" s="217">
        <f>ROUND(AB112-AB99*AD112,2)</f>
        <v>6.85</v>
      </c>
      <c r="AF112" s="211">
        <v>16.266666666666602</v>
      </c>
      <c r="AG112" s="212">
        <v>19.613333333333401</v>
      </c>
      <c r="AH112" s="203">
        <f>ROUND((AG112-AF112)/(AG99-AF99),4)</f>
        <v>6.1000000000000004E-3</v>
      </c>
      <c r="AI112" s="217">
        <f>ROUND(AF112-AF99*AH112,2)</f>
        <v>6.51</v>
      </c>
      <c r="AJ112" s="211">
        <v>19.953333333333301</v>
      </c>
      <c r="AK112" s="212">
        <v>24.133333333333301</v>
      </c>
      <c r="AL112" s="203">
        <f>ROUND((AK112-AJ112)/(AK99-AJ99),4)</f>
        <v>7.6E-3</v>
      </c>
      <c r="AM112" s="217">
        <f>ROUND(AJ112-AJ99*AL112,2)</f>
        <v>7.79</v>
      </c>
      <c r="AN112" s="211">
        <v>20.54</v>
      </c>
      <c r="AO112" s="212">
        <v>24.886666666666599</v>
      </c>
      <c r="AP112" s="203">
        <f>ROUND((AO112-AN112)/(AO99-AN99),4)</f>
        <v>7.9000000000000008E-3</v>
      </c>
      <c r="AQ112" s="217">
        <f>ROUND(AN112-AN99*AP112,2)</f>
        <v>7.9</v>
      </c>
      <c r="AR112" s="211">
        <v>22.34</v>
      </c>
      <c r="AS112" s="212">
        <v>26.813333333333301</v>
      </c>
      <c r="AT112" s="203">
        <f>ROUND((AS112-AR112)/(AS99-AR99),4)</f>
        <v>8.0999999999999996E-3</v>
      </c>
      <c r="AU112" s="217">
        <f>ROUND(AR112-AR99*AT112,2)</f>
        <v>9.3800000000000008</v>
      </c>
    </row>
    <row r="113" spans="1:47">
      <c r="D113" s="133">
        <v>15</v>
      </c>
      <c r="E113" s="133">
        <v>30</v>
      </c>
      <c r="F113" s="203">
        <f>INDEX($R100:$AU114,$D113,1+VLOOKUP($B100,$B$351:$E$368,4,FALSE))</f>
        <v>4.5999999999999999E-3</v>
      </c>
      <c r="G113" s="203">
        <f>INDEX($R100:$AU114,$D113,2+VLOOKUP($B100,$B$351:$E$368,4,FALSE))</f>
        <v>5.39</v>
      </c>
      <c r="H113" s="203">
        <f>INDEX($R100:$AU114,$D113,5+VLOOKUP($B100,$B$351:$E$368,4,FALSE))</f>
        <v>6.1999999999999998E-3</v>
      </c>
      <c r="I113" s="203">
        <f>INDEX($R100:$AU114,$D113,6+VLOOKUP($B100,$B$351:$E$368,4,FALSE))</f>
        <v>6.52</v>
      </c>
      <c r="J113" s="203">
        <f>INDEX($R100:$AU114,$D113,9+VLOOKUP($B100,$B$351:$E$368,4,FALSE))</f>
        <v>6.4000000000000003E-3</v>
      </c>
      <c r="K113" s="203">
        <f>INDEX($R100:$AU114,$D113,10+VLOOKUP($B100,$B$351:$E$368,4,FALSE))</f>
        <v>6.77</v>
      </c>
      <c r="L113" s="203">
        <f>INDEX($R100:$AU114,$D113,13+VLOOKUP($B100,$B$351:$E$368,4,FALSE))</f>
        <v>6.7000000000000002E-3</v>
      </c>
      <c r="M113" s="203">
        <f>INDEX($R100:$AU114,$D113,14+VLOOKUP($B100,$B$351:$E$368,4,FALSE))</f>
        <v>8.0500000000000007</v>
      </c>
      <c r="O113" s="215">
        <v>25</v>
      </c>
      <c r="P113" s="211">
        <v>10.327878787878801</v>
      </c>
      <c r="Q113" s="212">
        <v>12.080606060606</v>
      </c>
      <c r="R113" s="203">
        <f>ROUND((Q113-P113)/(Q99-P99),4)</f>
        <v>3.2000000000000002E-3</v>
      </c>
      <c r="S113" s="217">
        <f>ROUND(P113-P99*R113,2)</f>
        <v>5.21</v>
      </c>
      <c r="T113" s="211">
        <v>13.0975757575758</v>
      </c>
      <c r="U113" s="212">
        <v>15.580606060606</v>
      </c>
      <c r="V113" s="203">
        <f>ROUND((U113-T113)/(U99-T99),4)</f>
        <v>4.4999999999999997E-3</v>
      </c>
      <c r="W113" s="217">
        <f>ROUND(T113-T99*V113,2)</f>
        <v>5.9</v>
      </c>
      <c r="X113" s="211">
        <v>13.4151515151515</v>
      </c>
      <c r="Y113" s="212">
        <v>15.8430303030303</v>
      </c>
      <c r="Z113" s="203">
        <f>ROUND((Y113-X113)/(Y99-X99),4)</f>
        <v>4.4000000000000003E-3</v>
      </c>
      <c r="AA113" s="217">
        <f>ROUND(X113-X99*Z113,2)</f>
        <v>6.38</v>
      </c>
      <c r="AB113" s="211">
        <v>14.082424242424199</v>
      </c>
      <c r="AC113" s="212">
        <v>16.8369696969697</v>
      </c>
      <c r="AD113" s="203">
        <f>ROUND((AC113-AB113)/(AC99-AB99),4)</f>
        <v>5.0000000000000001E-3</v>
      </c>
      <c r="AE113" s="217">
        <f>ROUND(AB113-AB99*AD113,2)</f>
        <v>6.08</v>
      </c>
      <c r="AF113" s="211">
        <v>14.5096969696969</v>
      </c>
      <c r="AG113" s="212">
        <v>17.459393939394001</v>
      </c>
      <c r="AH113" s="203">
        <f>ROUND((AG113-AF113)/(AG99-AF99),4)</f>
        <v>5.4000000000000003E-3</v>
      </c>
      <c r="AI113" s="217">
        <f>ROUND(AF113-AF99*AH113,2)</f>
        <v>5.87</v>
      </c>
      <c r="AJ113" s="211">
        <v>18.1957575757576</v>
      </c>
      <c r="AK113" s="212">
        <v>21.977575757575799</v>
      </c>
      <c r="AL113" s="203">
        <f>ROUND((AK113-AJ113)/(AK99-AJ99),4)</f>
        <v>6.8999999999999999E-3</v>
      </c>
      <c r="AM113" s="217">
        <f>ROUND(AJ113-AJ99*AL113,2)</f>
        <v>7.16</v>
      </c>
      <c r="AN113" s="211">
        <v>18.7745454545455</v>
      </c>
      <c r="AO113" s="212">
        <v>22.720606060605999</v>
      </c>
      <c r="AP113" s="203">
        <f>ROUND((AO113-AN113)/(AO99-AN99),4)</f>
        <v>7.1999999999999998E-3</v>
      </c>
      <c r="AQ113" s="217">
        <f>ROUND(AN113-AN99*AP113,2)</f>
        <v>7.25</v>
      </c>
      <c r="AR113" s="211">
        <v>20.554545454545501</v>
      </c>
      <c r="AS113" s="212">
        <v>24.637575757575799</v>
      </c>
      <c r="AT113" s="203">
        <f>ROUND((AS113-AR113)/(AS99-AR99),4)</f>
        <v>7.4000000000000003E-3</v>
      </c>
      <c r="AU113" s="217">
        <f>ROUND(AR113-AR99*AT113,2)</f>
        <v>8.7100000000000009</v>
      </c>
    </row>
    <row r="114" spans="1:47" ht="15" thickBot="1">
      <c r="O114" s="216">
        <v>30</v>
      </c>
      <c r="P114" s="226">
        <v>8.9890909090909492</v>
      </c>
      <c r="Q114" s="227">
        <v>10.4545454545454</v>
      </c>
      <c r="R114" s="228">
        <f>ROUND((Q114-P114)/(Q99-P99),4)</f>
        <v>2.7000000000000001E-3</v>
      </c>
      <c r="S114" s="229">
        <f>ROUND(P114-P99*R114,2)</f>
        <v>4.67</v>
      </c>
      <c r="T114" s="226">
        <v>11.7418181818182</v>
      </c>
      <c r="U114" s="227">
        <v>13.9545454545454</v>
      </c>
      <c r="V114" s="228">
        <f>ROUND((U114-T114)/(U99-T99),4)</f>
        <v>4.0000000000000001E-3</v>
      </c>
      <c r="W114" s="229">
        <f>ROUND(T114-T99*V114,2)</f>
        <v>5.34</v>
      </c>
      <c r="X114" s="226">
        <v>12.0636363636364</v>
      </c>
      <c r="Y114" s="227">
        <v>14.2127272727272</v>
      </c>
      <c r="Z114" s="228">
        <f>ROUND((Y114-X114)/(Y99-X99),4)</f>
        <v>3.8999999999999998E-3</v>
      </c>
      <c r="AA114" s="229">
        <f>ROUND(X114-X99*Z114,2)</f>
        <v>5.82</v>
      </c>
      <c r="AB114" s="226">
        <v>12.6781818181818</v>
      </c>
      <c r="AC114" s="227">
        <v>15.2072727272728</v>
      </c>
      <c r="AD114" s="228">
        <f>ROUND((AC114-AB114)/(AC99-AB99),4)</f>
        <v>4.5999999999999999E-3</v>
      </c>
      <c r="AE114" s="229">
        <f>ROUND(AB114-AB99*AD114,2)</f>
        <v>5.32</v>
      </c>
      <c r="AF114" s="226">
        <v>12.752727272727199</v>
      </c>
      <c r="AG114" s="227">
        <v>15.3054545454546</v>
      </c>
      <c r="AH114" s="228">
        <f>ROUND((AG114-AF114)/(AG99-AF99),4)</f>
        <v>4.5999999999999999E-3</v>
      </c>
      <c r="AI114" s="229">
        <f>ROUND(AF114-AF99*AH114,2)</f>
        <v>5.39</v>
      </c>
      <c r="AJ114" s="226">
        <v>16.4381818181818</v>
      </c>
      <c r="AK114" s="227">
        <v>19.821818181818202</v>
      </c>
      <c r="AL114" s="228">
        <f>ROUND((AK114-AJ114)/(AK99-AJ99),4)</f>
        <v>6.1999999999999998E-3</v>
      </c>
      <c r="AM114" s="229">
        <f>ROUND(AJ114-AJ99*AL114,2)</f>
        <v>6.52</v>
      </c>
      <c r="AN114" s="226">
        <v>17.009090909090901</v>
      </c>
      <c r="AO114" s="227">
        <v>20.554545454545401</v>
      </c>
      <c r="AP114" s="228">
        <f>ROUND((AO114-AN114)/(AO99-AN99),4)</f>
        <v>6.4000000000000003E-3</v>
      </c>
      <c r="AQ114" s="229">
        <f>ROUND(AN114-AN99*AP114,2)</f>
        <v>6.77</v>
      </c>
      <c r="AR114" s="226">
        <v>18.769090909090998</v>
      </c>
      <c r="AS114" s="227">
        <v>22.461818181818199</v>
      </c>
      <c r="AT114" s="228">
        <f>ROUND((AS114-AR114)/(AS99-AR99),4)</f>
        <v>6.7000000000000002E-3</v>
      </c>
      <c r="AU114" s="229">
        <f>ROUND(AR114-AR99*AT114,2)</f>
        <v>8.0500000000000007</v>
      </c>
    </row>
    <row r="115" spans="1:47" ht="15" thickBot="1">
      <c r="O115" s="224"/>
      <c r="P115" s="225"/>
      <c r="Q115" s="225"/>
      <c r="R115" s="225"/>
      <c r="S115" s="225"/>
      <c r="T115" s="225"/>
      <c r="U115" s="225"/>
      <c r="V115" s="225"/>
      <c r="W115" s="225"/>
      <c r="X115" s="225"/>
      <c r="Y115" s="225"/>
      <c r="Z115" s="225"/>
      <c r="AA115" s="225"/>
      <c r="AB115" s="225"/>
      <c r="AC115" s="225"/>
      <c r="AD115" s="225"/>
      <c r="AE115" s="225"/>
      <c r="AF115" s="225"/>
      <c r="AG115" s="225"/>
      <c r="AH115" s="225"/>
      <c r="AI115" s="225"/>
      <c r="AJ115" s="225"/>
      <c r="AK115" s="225"/>
      <c r="AL115" s="225"/>
      <c r="AM115" s="225"/>
      <c r="AN115" s="225"/>
      <c r="AO115" s="225"/>
      <c r="AP115" s="225"/>
      <c r="AQ115" s="225"/>
      <c r="AR115" s="225"/>
      <c r="AS115" s="225"/>
      <c r="AT115" s="225"/>
      <c r="AU115" s="225"/>
    </row>
    <row r="116" spans="1:47" ht="15" thickBot="1">
      <c r="E116" s="163"/>
      <c r="F116" s="596" t="s">
        <v>244</v>
      </c>
      <c r="G116" s="597"/>
      <c r="H116" s="597" t="s">
        <v>245</v>
      </c>
      <c r="I116" s="597"/>
      <c r="J116" s="597" t="s">
        <v>246</v>
      </c>
      <c r="K116" s="597"/>
      <c r="L116" s="597" t="s">
        <v>247</v>
      </c>
      <c r="M116" s="598"/>
      <c r="O116" s="204" t="s">
        <v>258</v>
      </c>
      <c r="P116" s="590" t="s">
        <v>288</v>
      </c>
      <c r="Q116" s="591"/>
      <c r="R116" s="591"/>
      <c r="S116" s="591"/>
      <c r="T116" s="591"/>
      <c r="U116" s="591"/>
      <c r="V116" s="591"/>
      <c r="W116" s="591"/>
      <c r="X116" s="591"/>
      <c r="Y116" s="591"/>
      <c r="Z116" s="591"/>
      <c r="AA116" s="591"/>
      <c r="AB116" s="591"/>
      <c r="AC116" s="591"/>
      <c r="AD116" s="591"/>
      <c r="AE116" s="592"/>
      <c r="AF116" s="590" t="s">
        <v>289</v>
      </c>
      <c r="AG116" s="591"/>
      <c r="AH116" s="591"/>
      <c r="AI116" s="591"/>
      <c r="AJ116" s="591"/>
      <c r="AK116" s="591"/>
      <c r="AL116" s="591"/>
      <c r="AM116" s="591"/>
      <c r="AN116" s="591"/>
      <c r="AO116" s="591"/>
      <c r="AP116" s="591"/>
      <c r="AQ116" s="591"/>
      <c r="AR116" s="591"/>
      <c r="AS116" s="591"/>
      <c r="AT116" s="591"/>
      <c r="AU116" s="592"/>
    </row>
    <row r="117" spans="1:47" ht="15" thickBot="1">
      <c r="E117" s="163"/>
      <c r="F117" s="221" t="s">
        <v>66</v>
      </c>
      <c r="G117" s="222" t="s">
        <v>249</v>
      </c>
      <c r="H117" s="222" t="s">
        <v>66</v>
      </c>
      <c r="I117" s="222" t="s">
        <v>249</v>
      </c>
      <c r="J117" s="222" t="s">
        <v>66</v>
      </c>
      <c r="K117" s="222" t="s">
        <v>249</v>
      </c>
      <c r="L117" s="222" t="s">
        <v>66</v>
      </c>
      <c r="M117" s="223" t="s">
        <v>249</v>
      </c>
      <c r="O117" s="205" t="s">
        <v>251</v>
      </c>
      <c r="P117" s="593" t="s">
        <v>276</v>
      </c>
      <c r="Q117" s="594"/>
      <c r="R117" s="594"/>
      <c r="S117" s="595"/>
      <c r="T117" s="593" t="s">
        <v>277</v>
      </c>
      <c r="U117" s="594"/>
      <c r="V117" s="594"/>
      <c r="W117" s="595"/>
      <c r="X117" s="593" t="s">
        <v>278</v>
      </c>
      <c r="Y117" s="594"/>
      <c r="Z117" s="594"/>
      <c r="AA117" s="595"/>
      <c r="AB117" s="593" t="s">
        <v>279</v>
      </c>
      <c r="AC117" s="594"/>
      <c r="AD117" s="594"/>
      <c r="AE117" s="595"/>
      <c r="AF117" s="593" t="s">
        <v>276</v>
      </c>
      <c r="AG117" s="594"/>
      <c r="AH117" s="594"/>
      <c r="AI117" s="595"/>
      <c r="AJ117" s="593" t="s">
        <v>277</v>
      </c>
      <c r="AK117" s="594"/>
      <c r="AL117" s="594"/>
      <c r="AM117" s="595"/>
      <c r="AN117" s="593" t="s">
        <v>278</v>
      </c>
      <c r="AO117" s="594"/>
      <c r="AP117" s="594"/>
      <c r="AQ117" s="595"/>
      <c r="AR117" s="593" t="s">
        <v>279</v>
      </c>
      <c r="AS117" s="594"/>
      <c r="AT117" s="594"/>
      <c r="AU117" s="595"/>
    </row>
    <row r="118" spans="1:47" ht="15" thickBot="1">
      <c r="A118" t="s">
        <v>248</v>
      </c>
      <c r="B118" s="163" t="e">
        <f>Задача_Расход</f>
        <v>#REF!</v>
      </c>
      <c r="D118" s="133">
        <v>1</v>
      </c>
      <c r="E118" s="133">
        <v>-40</v>
      </c>
      <c r="F118" s="220">
        <f>INDEX($R119:$AU133,$D118,1+VLOOKUP($B119,$B$351:$E$368,4,FALSE))</f>
        <v>9.5999999999999992E-3</v>
      </c>
      <c r="G118" s="220">
        <f>INDEX($R119:$AU133,$D118,2+VLOOKUP($B119,$B$351:$E$368,4,FALSE))</f>
        <v>15.02</v>
      </c>
      <c r="H118" s="220">
        <f>INDEX($R119:$AU133,$D118,5+VLOOKUP($B119,$B$351:$E$368,4,FALSE))</f>
        <v>1.0800000000000001E-2</v>
      </c>
      <c r="I118" s="220">
        <f>INDEX($R119:$AU133,$D118,6+VLOOKUP($B119,$B$351:$E$368,4,FALSE))</f>
        <v>16.21</v>
      </c>
      <c r="J118" s="220">
        <f>INDEX($R119:$AU133,$D118,9+VLOOKUP($B119,$B$351:$E$368,4,FALSE))</f>
        <v>1.06E-2</v>
      </c>
      <c r="K118" s="220">
        <f>INDEX($R119:$AU133,$D118,10+VLOOKUP($B119,$B$351:$E$368,4,FALSE))</f>
        <v>16.93</v>
      </c>
      <c r="L118" s="220">
        <f>INDEX($R119:$AU133,$D118,13+VLOOKUP($B119,$B$351:$E$368,4,FALSE))</f>
        <v>1.0800000000000001E-2</v>
      </c>
      <c r="M118" s="220">
        <f>INDEX($R119:$AU133,$D118,14+VLOOKUP($B119,$B$351:$E$368,4,FALSE))</f>
        <v>17.73</v>
      </c>
      <c r="O118" s="206" t="s">
        <v>248</v>
      </c>
      <c r="P118" s="207">
        <v>2000</v>
      </c>
      <c r="Q118" s="208">
        <v>2600</v>
      </c>
      <c r="R118" s="208"/>
      <c r="S118" s="209"/>
      <c r="T118" s="207">
        <v>2000</v>
      </c>
      <c r="U118" s="208">
        <v>2600</v>
      </c>
      <c r="V118" s="208"/>
      <c r="W118" s="209"/>
      <c r="X118" s="207">
        <v>2000</v>
      </c>
      <c r="Y118" s="208">
        <v>2600</v>
      </c>
      <c r="Z118" s="208"/>
      <c r="AA118" s="209"/>
      <c r="AB118" s="207">
        <v>2000</v>
      </c>
      <c r="AC118" s="208">
        <v>2600</v>
      </c>
      <c r="AD118" s="208"/>
      <c r="AE118" s="209"/>
      <c r="AF118" s="207">
        <v>2000</v>
      </c>
      <c r="AG118" s="208">
        <v>2600</v>
      </c>
      <c r="AH118" s="208"/>
      <c r="AI118" s="209"/>
      <c r="AJ118" s="207">
        <v>2000</v>
      </c>
      <c r="AK118" s="208">
        <v>2600</v>
      </c>
      <c r="AL118" s="208"/>
      <c r="AM118" s="209"/>
      <c r="AN118" s="207">
        <v>2000</v>
      </c>
      <c r="AO118" s="208">
        <v>2600</v>
      </c>
      <c r="AP118" s="208"/>
      <c r="AQ118" s="209"/>
      <c r="AR118" s="207">
        <v>2000</v>
      </c>
      <c r="AS118" s="208">
        <v>2600</v>
      </c>
      <c r="AT118" s="208"/>
      <c r="AU118" s="209"/>
    </row>
    <row r="119" spans="1:47">
      <c r="A119" t="s">
        <v>250</v>
      </c>
      <c r="B119" s="163" t="s">
        <v>265</v>
      </c>
      <c r="D119" s="133">
        <v>2</v>
      </c>
      <c r="E119" s="133">
        <v>-35</v>
      </c>
      <c r="F119" s="203">
        <f>INDEX($R119:$AU133,$D119,1+VLOOKUP($B119,$B$351:$E$368,4,FALSE))</f>
        <v>9.1000000000000004E-3</v>
      </c>
      <c r="G119" s="203">
        <f>INDEX($R119:$AU133,$D119,2+VLOOKUP($B119,$B$351:$E$368,4,FALSE))</f>
        <v>14.35</v>
      </c>
      <c r="H119" s="203">
        <f>INDEX($R119:$AU133,$D119,5+VLOOKUP($B119,$B$351:$E$368,4,FALSE))</f>
        <v>1.03E-2</v>
      </c>
      <c r="I119" s="203">
        <f>INDEX($R119:$AU133,$D119,6+VLOOKUP($B119,$B$351:$E$368,4,FALSE))</f>
        <v>15.54</v>
      </c>
      <c r="J119" s="203">
        <f>INDEX($R119:$AU133,$D119,9+VLOOKUP($B119,$B$351:$E$368,4,FALSE))</f>
        <v>1.0200000000000001E-2</v>
      </c>
      <c r="K119" s="203">
        <f>INDEX($R119:$AU133,$D119,10+VLOOKUP($B119,$B$351:$E$368,4,FALSE))</f>
        <v>16.059999999999999</v>
      </c>
      <c r="L119" s="203">
        <f>INDEX($R119:$AU133,$D119,13+VLOOKUP($B119,$B$351:$E$368,4,FALSE))</f>
        <v>1.04E-2</v>
      </c>
      <c r="M119" s="203">
        <f>INDEX($R119:$AU133,$D119,14+VLOOKUP($B119,$B$351:$E$368,4,FALSE))</f>
        <v>16.850000000000001</v>
      </c>
      <c r="O119" s="210">
        <v>-40</v>
      </c>
      <c r="P119" s="211">
        <v>34.219393939394003</v>
      </c>
      <c r="Q119" s="212">
        <v>39.984848484848499</v>
      </c>
      <c r="R119" s="203">
        <f>ROUND((Q119-P119)/(Q118-P118),4)</f>
        <v>9.5999999999999992E-3</v>
      </c>
      <c r="S119" s="217">
        <f>ROUND(P119-P118*R119,2)</f>
        <v>15.02</v>
      </c>
      <c r="T119" s="211">
        <v>37.807272727272696</v>
      </c>
      <c r="U119" s="212">
        <v>44.285454545454499</v>
      </c>
      <c r="V119" s="203">
        <f>ROUND((U119-T119)/(U118-T118),4)</f>
        <v>1.0800000000000001E-2</v>
      </c>
      <c r="W119" s="217">
        <f>ROUND(T119-T118*V119,2)</f>
        <v>16.21</v>
      </c>
      <c r="X119" s="211">
        <v>38.125454545454502</v>
      </c>
      <c r="Y119" s="212">
        <v>44.510909090909102</v>
      </c>
      <c r="Z119" s="203">
        <f>ROUND((Y119-X119)/(Y118-X118),4)</f>
        <v>1.06E-2</v>
      </c>
      <c r="AA119" s="217">
        <f>ROUND(X119-X118*Z119,2)</f>
        <v>16.93</v>
      </c>
      <c r="AB119" s="211">
        <v>39.326060606060601</v>
      </c>
      <c r="AC119" s="212">
        <v>45.825454545454498</v>
      </c>
      <c r="AD119" s="203">
        <f>ROUND((AC119-AB119)/(AC118-AB118),4)</f>
        <v>1.0800000000000001E-2</v>
      </c>
      <c r="AE119" s="217">
        <f>ROUND(AB119-AB118*AD119,2)</f>
        <v>17.73</v>
      </c>
      <c r="AF119" s="211">
        <v>46.122424242424202</v>
      </c>
      <c r="AG119" s="212">
        <v>54.798181818181803</v>
      </c>
      <c r="AH119" s="203">
        <f>ROUND((AG119-AF119)/(AG118-AF118),4)</f>
        <v>1.4500000000000001E-2</v>
      </c>
      <c r="AI119" s="217">
        <f>ROUND(AF119-AF118*AH119,2)</f>
        <v>17.12</v>
      </c>
      <c r="AJ119" s="211">
        <v>50.8169696969697</v>
      </c>
      <c r="AK119" s="212">
        <v>60.3</v>
      </c>
      <c r="AL119" s="203">
        <f>ROUND((AK119-AJ119)/(AK118-AJ118),4)</f>
        <v>1.5800000000000002E-2</v>
      </c>
      <c r="AM119" s="217">
        <f>ROUND(AJ119-AJ118*AL119,2)</f>
        <v>19.22</v>
      </c>
      <c r="AN119" s="211">
        <v>51.4642424242424</v>
      </c>
      <c r="AO119" s="212">
        <v>61.240606060605998</v>
      </c>
      <c r="AP119" s="203">
        <f>ROUND((AO119-AN119)/(AO118-AN118),4)</f>
        <v>1.6299999999999999E-2</v>
      </c>
      <c r="AQ119" s="217">
        <f>ROUND(AN119-AN118*AP119,2)</f>
        <v>18.86</v>
      </c>
      <c r="AR119" s="211">
        <v>54.012727272727297</v>
      </c>
      <c r="AS119" s="212">
        <v>63.883636363636398</v>
      </c>
      <c r="AT119" s="203">
        <f>ROUND((AS119-AR119)/(AS118-AR118),4)</f>
        <v>1.6500000000000001E-2</v>
      </c>
      <c r="AU119" s="217">
        <f>ROUND(AR119-AR118*AT119,2)</f>
        <v>21.01</v>
      </c>
    </row>
    <row r="120" spans="1:47">
      <c r="A120" t="s">
        <v>251</v>
      </c>
      <c r="B120" s="163" t="e">
        <f>Задача_НагревательТеплоноситель</f>
        <v>#REF!</v>
      </c>
      <c r="D120" s="133">
        <v>3</v>
      </c>
      <c r="E120" s="133">
        <v>-30</v>
      </c>
      <c r="F120" s="203">
        <f>INDEX($R119:$AU133,$D120,1+VLOOKUP($B119,$B$351:$E$368,4,FALSE))</f>
        <v>8.6999999999999994E-3</v>
      </c>
      <c r="G120" s="203">
        <f>INDEX($R119:$AU133,$D120,2+VLOOKUP($B119,$B$351:$E$368,4,FALSE))</f>
        <v>13.5</v>
      </c>
      <c r="H120" s="203">
        <f>INDEX($R119:$AU133,$D120,5+VLOOKUP($B119,$B$351:$E$368,4,FALSE))</f>
        <v>9.7999999999999997E-3</v>
      </c>
      <c r="I120" s="203">
        <f>INDEX($R119:$AU133,$D120,6+VLOOKUP($B119,$B$351:$E$368,4,FALSE))</f>
        <v>14.9</v>
      </c>
      <c r="J120" s="203">
        <f>INDEX($R119:$AU133,$D120,9+VLOOKUP($B119,$B$351:$E$368,4,FALSE))</f>
        <v>9.7999999999999997E-3</v>
      </c>
      <c r="K120" s="203">
        <f>INDEX($R119:$AU133,$D120,10+VLOOKUP($B119,$B$351:$E$368,4,FALSE))</f>
        <v>15.2</v>
      </c>
      <c r="L120" s="203">
        <f>INDEX($R119:$AU133,$D120,13+VLOOKUP($B119,$B$351:$E$368,4,FALSE))</f>
        <v>9.7999999999999997E-3</v>
      </c>
      <c r="M120" s="203">
        <f>INDEX($R119:$AU133,$D120,14+VLOOKUP($B119,$B$351:$E$368,4,FALSE))</f>
        <v>16.399999999999999</v>
      </c>
      <c r="O120" s="215">
        <v>-35</v>
      </c>
      <c r="P120" s="211">
        <v>32.553333333333299</v>
      </c>
      <c r="Q120" s="212">
        <v>38.033333333333303</v>
      </c>
      <c r="R120" s="203">
        <f>ROUND((Q120-P120)/(Q118-P118),4)</f>
        <v>9.1000000000000004E-3</v>
      </c>
      <c r="S120" s="217">
        <f>ROUND(P120-P118*R120,2)</f>
        <v>14.35</v>
      </c>
      <c r="T120" s="211">
        <v>36.14</v>
      </c>
      <c r="U120" s="212">
        <v>42.32</v>
      </c>
      <c r="V120" s="203">
        <f>ROUND((U120-T120)/(U118-T118),4)</f>
        <v>1.03E-2</v>
      </c>
      <c r="W120" s="217">
        <f>ROUND(T120-T118*V120,2)</f>
        <v>15.54</v>
      </c>
      <c r="X120" s="211">
        <v>36.46</v>
      </c>
      <c r="Y120" s="212">
        <v>42.56</v>
      </c>
      <c r="Z120" s="203">
        <f>ROUND((Y120-X120)/(Y118-X118),4)</f>
        <v>1.0200000000000001E-2</v>
      </c>
      <c r="AA120" s="217">
        <f>ROUND(X120-X118*Z120,2)</f>
        <v>16.059999999999999</v>
      </c>
      <c r="AB120" s="211">
        <v>37.646666666666697</v>
      </c>
      <c r="AC120" s="212">
        <v>43.86</v>
      </c>
      <c r="AD120" s="203">
        <f>ROUND((AC120-AB120)/(AC118-AB118),4)</f>
        <v>1.04E-2</v>
      </c>
      <c r="AE120" s="217">
        <f>ROUND(AB120-AB118*AD120,2)</f>
        <v>16.850000000000001</v>
      </c>
      <c r="AF120" s="211">
        <v>43.946666666666701</v>
      </c>
      <c r="AG120" s="212">
        <v>52.2</v>
      </c>
      <c r="AH120" s="203">
        <f>ROUND((AG120-AF120)/(AG118-AF118),4)</f>
        <v>1.38E-2</v>
      </c>
      <c r="AI120" s="217">
        <f>ROUND(AF120-AF118*AH120,2)</f>
        <v>16.350000000000001</v>
      </c>
      <c r="AJ120" s="211">
        <v>48.626666666666701</v>
      </c>
      <c r="AK120" s="212">
        <v>57.7</v>
      </c>
      <c r="AL120" s="203">
        <f>ROUND((AK120-AJ120)/(AK118-AJ118),4)</f>
        <v>1.5100000000000001E-2</v>
      </c>
      <c r="AM120" s="217">
        <f>ROUND(AJ120-AJ118*AL120,2)</f>
        <v>18.43</v>
      </c>
      <c r="AN120" s="211">
        <v>49.286666666666697</v>
      </c>
      <c r="AO120" s="212">
        <v>58.626666666666701</v>
      </c>
      <c r="AP120" s="203">
        <f>ROUND((AO120-AN120)/(AO118-AN118),4)</f>
        <v>1.5599999999999999E-2</v>
      </c>
      <c r="AQ120" s="217">
        <f>ROUND(AN120-AN118*AP120,2)</f>
        <v>18.09</v>
      </c>
      <c r="AR120" s="211">
        <v>51.8</v>
      </c>
      <c r="AS120" s="212">
        <v>61.26</v>
      </c>
      <c r="AT120" s="203">
        <f>ROUND((AS120-AR120)/(AS118-AR118),4)</f>
        <v>1.5800000000000002E-2</v>
      </c>
      <c r="AU120" s="217">
        <f>ROUND(AR120-AR118*AT120,2)</f>
        <v>20.2</v>
      </c>
    </row>
    <row r="121" spans="1:47">
      <c r="A121" t="s">
        <v>253</v>
      </c>
      <c r="B121" s="163" t="e">
        <f>VLOOKUP("600x300",ПП_Расчет!C$10:F$19,4,0)</f>
        <v>#REF!</v>
      </c>
      <c r="D121" s="133">
        <v>4</v>
      </c>
      <c r="E121" s="133">
        <v>-25</v>
      </c>
      <c r="F121" s="203">
        <f>INDEX($R119:$AU133,$D121,1+VLOOKUP($B119,$B$351:$E$368,4,FALSE))</f>
        <v>8.2000000000000007E-3</v>
      </c>
      <c r="G121" s="203">
        <f>INDEX($R119:$AU133,$D121,2+VLOOKUP($B119,$B$351:$E$368,4,FALSE))</f>
        <v>12.8</v>
      </c>
      <c r="H121" s="203">
        <f>INDEX($R119:$AU133,$D121,5+VLOOKUP($B119,$B$351:$E$368,4,FALSE))</f>
        <v>9.2999999999999992E-3</v>
      </c>
      <c r="I121" s="203">
        <f>INDEX($R119:$AU133,$D121,6+VLOOKUP($B119,$B$351:$E$368,4,FALSE))</f>
        <v>14.2</v>
      </c>
      <c r="J121" s="203">
        <f>INDEX($R119:$AU133,$D121,9+VLOOKUP($B119,$B$351:$E$368,4,FALSE))</f>
        <v>9.2999999999999992E-3</v>
      </c>
      <c r="K121" s="203">
        <f>INDEX($R119:$AU133,$D121,10+VLOOKUP($B119,$B$351:$E$368,4,FALSE))</f>
        <v>14.5</v>
      </c>
      <c r="L121" s="203">
        <f>INDEX($R119:$AU133,$D121,13+VLOOKUP($B119,$B$351:$E$368,4,FALSE))</f>
        <v>9.2999999999999992E-3</v>
      </c>
      <c r="M121" s="203">
        <f>INDEX($R119:$AU133,$D121,14+VLOOKUP($B119,$B$351:$E$368,4,FALSE))</f>
        <v>15.7</v>
      </c>
      <c r="O121" s="215">
        <v>-30</v>
      </c>
      <c r="P121" s="211">
        <v>30.9</v>
      </c>
      <c r="Q121" s="212">
        <v>36.1</v>
      </c>
      <c r="R121" s="203">
        <f>ROUND((Q121-P121)/(Q118-P118),4)</f>
        <v>8.6999999999999994E-3</v>
      </c>
      <c r="S121" s="217">
        <f>ROUND(P121-P118*R121,2)</f>
        <v>13.5</v>
      </c>
      <c r="T121" s="211">
        <v>34.5</v>
      </c>
      <c r="U121" s="212">
        <v>40.4</v>
      </c>
      <c r="V121" s="203">
        <f>ROUND((U121-T121)/(U118-T118),4)</f>
        <v>9.7999999999999997E-3</v>
      </c>
      <c r="W121" s="217">
        <f>ROUND(T121-T118*V121,2)</f>
        <v>14.9</v>
      </c>
      <c r="X121" s="211">
        <v>34.799999999999997</v>
      </c>
      <c r="Y121" s="212">
        <v>40.700000000000003</v>
      </c>
      <c r="Z121" s="203">
        <f>ROUND((Y121-X121)/(Y118-X118),4)</f>
        <v>9.7999999999999997E-3</v>
      </c>
      <c r="AA121" s="217">
        <f>ROUND(X121-X118*Z121,2)</f>
        <v>15.2</v>
      </c>
      <c r="AB121" s="211">
        <v>36</v>
      </c>
      <c r="AC121" s="212">
        <v>41.9</v>
      </c>
      <c r="AD121" s="203">
        <f>ROUND((AC121-AB121)/(AC118-AB118),4)</f>
        <v>9.7999999999999997E-3</v>
      </c>
      <c r="AE121" s="217">
        <f>ROUND(AB121-AB118*AD121,2)</f>
        <v>16.399999999999999</v>
      </c>
      <c r="AF121" s="211">
        <v>41.8</v>
      </c>
      <c r="AG121" s="212">
        <v>49.6</v>
      </c>
      <c r="AH121" s="203">
        <f>ROUND((AG121-AF121)/(AG118-AF118),4)</f>
        <v>1.2999999999999999E-2</v>
      </c>
      <c r="AI121" s="217">
        <f>ROUND(AF121-AF118*AH121,2)</f>
        <v>15.8</v>
      </c>
      <c r="AJ121" s="211">
        <v>46.6</v>
      </c>
      <c r="AK121" s="212">
        <v>55.1</v>
      </c>
      <c r="AL121" s="203">
        <f>ROUND((AK121-AJ121)/(AK118-AJ118),4)</f>
        <v>1.4200000000000001E-2</v>
      </c>
      <c r="AM121" s="217">
        <f>ROUND(AJ121-AJ118*AL121,2)</f>
        <v>18.2</v>
      </c>
      <c r="AN121" s="211">
        <v>47.1</v>
      </c>
      <c r="AO121" s="212">
        <v>56</v>
      </c>
      <c r="AP121" s="203">
        <f>ROUND((AO121-AN121)/(AO118-AN118),4)</f>
        <v>1.4800000000000001E-2</v>
      </c>
      <c r="AQ121" s="217">
        <f>ROUND(AN121-AN118*AP121,2)</f>
        <v>17.5</v>
      </c>
      <c r="AR121" s="211">
        <v>49.5</v>
      </c>
      <c r="AS121" s="212">
        <v>58.6</v>
      </c>
      <c r="AT121" s="203">
        <f>ROUND((AS121-AR121)/(AS118-AR118),4)</f>
        <v>1.52E-2</v>
      </c>
      <c r="AU121" s="217">
        <f>ROUND(AR121-AR118*AT121,2)</f>
        <v>19.100000000000001</v>
      </c>
    </row>
    <row r="122" spans="1:47">
      <c r="D122" s="133">
        <v>5</v>
      </c>
      <c r="E122" s="133">
        <v>-20</v>
      </c>
      <c r="F122" s="203">
        <f>INDEX($R119:$AU133,$D122,1+VLOOKUP($B119,$B$351:$E$368,4,FALSE))</f>
        <v>7.7000000000000002E-3</v>
      </c>
      <c r="G122" s="203">
        <f>INDEX($R119:$AU133,$D122,2+VLOOKUP($B119,$B$351:$E$368,4,FALSE))</f>
        <v>12.2</v>
      </c>
      <c r="H122" s="203">
        <f>INDEX($R119:$AU133,$D122,5+VLOOKUP($B119,$B$351:$E$368,4,FALSE))</f>
        <v>8.8000000000000005E-3</v>
      </c>
      <c r="I122" s="203">
        <f>INDEX($R119:$AU133,$D122,6+VLOOKUP($B119,$B$351:$E$368,4,FALSE))</f>
        <v>13.5</v>
      </c>
      <c r="J122" s="203">
        <f>INDEX($R119:$AU133,$D122,9+VLOOKUP($B119,$B$351:$E$368,4,FALSE))</f>
        <v>8.2000000000000007E-3</v>
      </c>
      <c r="K122" s="203">
        <f>INDEX($R119:$AU133,$D122,10+VLOOKUP($B119,$B$351:$E$368,4,FALSE))</f>
        <v>15.1</v>
      </c>
      <c r="L122" s="203">
        <f>INDEX($R119:$AU133,$D122,13+VLOOKUP($B119,$B$351:$E$368,4,FALSE))</f>
        <v>8.9999999999999993E-3</v>
      </c>
      <c r="M122" s="203">
        <f>INDEX($R119:$AU133,$D122,14+VLOOKUP($B119,$B$351:$E$368,4,FALSE))</f>
        <v>14.6</v>
      </c>
      <c r="O122" s="215">
        <v>-25</v>
      </c>
      <c r="P122" s="211">
        <v>29.2</v>
      </c>
      <c r="Q122" s="212">
        <v>34.1</v>
      </c>
      <c r="R122" s="203">
        <f>ROUND((Q122-P122)/(Q118-P118),4)</f>
        <v>8.2000000000000007E-3</v>
      </c>
      <c r="S122" s="217">
        <f>ROUND(P122-P118*R122,2)</f>
        <v>12.8</v>
      </c>
      <c r="T122" s="211">
        <v>32.799999999999997</v>
      </c>
      <c r="U122" s="212">
        <v>38.4</v>
      </c>
      <c r="V122" s="203">
        <f>ROUND((U122-T122)/(U118-T118),4)</f>
        <v>9.2999999999999992E-3</v>
      </c>
      <c r="W122" s="217">
        <f>ROUND(T122-T118*V122,2)</f>
        <v>14.2</v>
      </c>
      <c r="X122" s="211">
        <v>33.1</v>
      </c>
      <c r="Y122" s="212">
        <v>38.700000000000003</v>
      </c>
      <c r="Z122" s="203">
        <f>ROUND((Y122-X122)/(Y118-X118),4)</f>
        <v>9.2999999999999992E-3</v>
      </c>
      <c r="AA122" s="217">
        <f>ROUND(X122-X118*Z122,2)</f>
        <v>14.5</v>
      </c>
      <c r="AB122" s="211">
        <v>34.299999999999997</v>
      </c>
      <c r="AC122" s="212">
        <v>39.9</v>
      </c>
      <c r="AD122" s="203">
        <f>ROUND((AC122-AB122)/(AC118-AB118),4)</f>
        <v>9.2999999999999992E-3</v>
      </c>
      <c r="AE122" s="217">
        <f>ROUND(AB122-AB118*AD122,2)</f>
        <v>15.7</v>
      </c>
      <c r="AF122" s="211">
        <v>39.6</v>
      </c>
      <c r="AG122" s="212">
        <v>47</v>
      </c>
      <c r="AH122" s="203">
        <f>ROUND((AG122-AF122)/(AG118-AF118),4)</f>
        <v>1.23E-2</v>
      </c>
      <c r="AI122" s="217">
        <f>ROUND(AF122-AF118*AH122,2)</f>
        <v>15</v>
      </c>
      <c r="AJ122" s="211">
        <v>44.2</v>
      </c>
      <c r="AK122" s="212">
        <v>52.5</v>
      </c>
      <c r="AL122" s="203">
        <f>ROUND((AK122-AJ122)/(AK118-AJ118),4)</f>
        <v>1.38E-2</v>
      </c>
      <c r="AM122" s="217">
        <f>ROUND(AJ122-AJ118*AL122,2)</f>
        <v>16.600000000000001</v>
      </c>
      <c r="AN122" s="211">
        <v>44.9</v>
      </c>
      <c r="AO122" s="212">
        <v>53.4</v>
      </c>
      <c r="AP122" s="203">
        <f>ROUND((AO122-AN122)/(AO118-AN118),4)</f>
        <v>1.4200000000000001E-2</v>
      </c>
      <c r="AQ122" s="217">
        <f>ROUND(AN122-AN118*AP122,2)</f>
        <v>16.5</v>
      </c>
      <c r="AR122" s="211">
        <v>47.6</v>
      </c>
      <c r="AS122" s="212">
        <v>56</v>
      </c>
      <c r="AT122" s="203">
        <f>ROUND((AS122-AR122)/(AS118-AR118),4)</f>
        <v>1.4E-2</v>
      </c>
      <c r="AU122" s="217">
        <f>ROUND(AR122-AR118*AT122,2)</f>
        <v>19.600000000000001</v>
      </c>
    </row>
    <row r="123" spans="1:47">
      <c r="A123" t="s">
        <v>66</v>
      </c>
      <c r="B123" s="163" t="e">
        <f>VLOOKUP(B121,E118:M132,VLOOKUP(B120,B$345:D$348,2,FALSE))</f>
        <v>#REF!</v>
      </c>
      <c r="D123" s="133">
        <v>6</v>
      </c>
      <c r="E123" s="133">
        <v>-15</v>
      </c>
      <c r="F123" s="203">
        <f>INDEX($R119:$AU133,$D123,1+VLOOKUP($B119,$B$351:$E$368,4,FALSE))</f>
        <v>7.1999999999999998E-3</v>
      </c>
      <c r="G123" s="203">
        <f>INDEX($R119:$AU133,$D123,2+VLOOKUP($B119,$B$351:$E$368,4,FALSE))</f>
        <v>11.5</v>
      </c>
      <c r="H123" s="203">
        <f>INDEX($R119:$AU133,$D123,5+VLOOKUP($B119,$B$351:$E$368,4,FALSE))</f>
        <v>8.2000000000000007E-3</v>
      </c>
      <c r="I123" s="203">
        <f>INDEX($R119:$AU133,$D123,6+VLOOKUP($B119,$B$351:$E$368,4,FALSE))</f>
        <v>13.1</v>
      </c>
      <c r="J123" s="203">
        <f>INDEX($R119:$AU133,$D123,9+VLOOKUP($B119,$B$351:$E$368,4,FALSE))</f>
        <v>8.3000000000000001E-3</v>
      </c>
      <c r="K123" s="203">
        <f>INDEX($R119:$AU133,$D123,10+VLOOKUP($B119,$B$351:$E$368,4,FALSE))</f>
        <v>13.2</v>
      </c>
      <c r="L123" s="203">
        <f>INDEX($R119:$AU133,$D123,13+VLOOKUP($B119,$B$351:$E$368,4,FALSE))</f>
        <v>8.5000000000000006E-3</v>
      </c>
      <c r="M123" s="203">
        <f>INDEX($R119:$AU133,$D123,14+VLOOKUP($B119,$B$351:$E$368,4,FALSE))</f>
        <v>13.9</v>
      </c>
      <c r="O123" s="215">
        <v>-20</v>
      </c>
      <c r="P123" s="211">
        <v>27.6</v>
      </c>
      <c r="Q123" s="212">
        <v>32.200000000000003</v>
      </c>
      <c r="R123" s="203">
        <f>ROUND((Q123-P123)/(Q118-P118),4)</f>
        <v>7.7000000000000002E-3</v>
      </c>
      <c r="S123" s="217">
        <f>ROUND(P123-P118*R123,2)</f>
        <v>12.2</v>
      </c>
      <c r="T123" s="211">
        <v>31.1</v>
      </c>
      <c r="U123" s="212">
        <v>36.4</v>
      </c>
      <c r="V123" s="203">
        <f>ROUND((U123-T123)/(U118-T118),4)</f>
        <v>8.8000000000000005E-3</v>
      </c>
      <c r="W123" s="217">
        <f>ROUND(T123-T118*V123,2)</f>
        <v>13.5</v>
      </c>
      <c r="X123" s="211">
        <v>31.5</v>
      </c>
      <c r="Y123" s="212">
        <v>36.4</v>
      </c>
      <c r="Z123" s="203">
        <f>ROUND((Y123-X123)/(Y118-X118),4)</f>
        <v>8.2000000000000007E-3</v>
      </c>
      <c r="AA123" s="217">
        <f>ROUND(X123-X118*Z123,2)</f>
        <v>15.1</v>
      </c>
      <c r="AB123" s="211">
        <v>32.6</v>
      </c>
      <c r="AC123" s="212">
        <v>38</v>
      </c>
      <c r="AD123" s="203">
        <f>ROUND((AC123-AB123)/(AC118-AB118),4)</f>
        <v>8.9999999999999993E-3</v>
      </c>
      <c r="AE123" s="217">
        <f>ROUND(AB123-AB118*AD123,2)</f>
        <v>14.6</v>
      </c>
      <c r="AF123" s="211">
        <v>37.4</v>
      </c>
      <c r="AG123" s="212">
        <v>44.4</v>
      </c>
      <c r="AH123" s="203">
        <f>ROUND((AG123-AF123)/(AG118-AF118),4)</f>
        <v>1.17E-2</v>
      </c>
      <c r="AI123" s="217">
        <f>ROUND(AF123-AF118*AH123,2)</f>
        <v>14</v>
      </c>
      <c r="AJ123" s="211">
        <v>42</v>
      </c>
      <c r="AK123" s="212">
        <v>49.9</v>
      </c>
      <c r="AL123" s="203">
        <f>ROUND((AK123-AJ123)/(AK118-AJ118),4)</f>
        <v>1.32E-2</v>
      </c>
      <c r="AM123" s="217">
        <f>ROUND(AJ123-AJ118*AL123,2)</f>
        <v>15.6</v>
      </c>
      <c r="AN123" s="211">
        <v>42.8</v>
      </c>
      <c r="AO123" s="212">
        <v>50.8</v>
      </c>
      <c r="AP123" s="203">
        <f>ROUND((AO123-AN123)/(AO118-AN118),4)</f>
        <v>1.3299999999999999E-2</v>
      </c>
      <c r="AQ123" s="217">
        <f>ROUND(AN123-AN118*AP123,2)</f>
        <v>16.2</v>
      </c>
      <c r="AR123" s="211">
        <v>45.1</v>
      </c>
      <c r="AS123" s="212">
        <v>53.4</v>
      </c>
      <c r="AT123" s="203">
        <f>ROUND((AS123-AR123)/(AS118-AR118),4)</f>
        <v>1.38E-2</v>
      </c>
      <c r="AU123" s="217">
        <f>ROUND(AR123-AR118*AT123,2)</f>
        <v>17.5</v>
      </c>
    </row>
    <row r="124" spans="1:47">
      <c r="A124" t="s">
        <v>249</v>
      </c>
      <c r="B124" s="163" t="e">
        <f>VLOOKUP(B121,E118:M132,VLOOKUP(B120,B$345:D$348,3,FALSE))</f>
        <v>#REF!</v>
      </c>
      <c r="D124" s="133">
        <v>7</v>
      </c>
      <c r="E124" s="133">
        <v>-10</v>
      </c>
      <c r="F124" s="203">
        <f>INDEX($R119:$AU133,$D124,1+VLOOKUP($B119,$B$351:$E$368,4,FALSE))</f>
        <v>6.7999999999999996E-3</v>
      </c>
      <c r="G124" s="203">
        <f>INDEX($R119:$AU133,$D124,2+VLOOKUP($B119,$B$351:$E$368,4,FALSE))</f>
        <v>10.6</v>
      </c>
      <c r="H124" s="203">
        <f>INDEX($R119:$AU133,$D124,5+VLOOKUP($B119,$B$351:$E$368,4,FALSE))</f>
        <v>7.7999999999999996E-3</v>
      </c>
      <c r="I124" s="203">
        <f>INDEX($R119:$AU133,$D124,6+VLOOKUP($B119,$B$351:$E$368,4,FALSE))</f>
        <v>12.2</v>
      </c>
      <c r="J124" s="203">
        <f>INDEX($R119:$AU133,$D124,9+VLOOKUP($B119,$B$351:$E$368,4,FALSE))</f>
        <v>8.0000000000000002E-3</v>
      </c>
      <c r="K124" s="203">
        <f>INDEX($R119:$AU133,$D124,10+VLOOKUP($B119,$B$351:$E$368,4,FALSE))</f>
        <v>12.1</v>
      </c>
      <c r="L124" s="203">
        <f>INDEX($R119:$AU133,$D124,13+VLOOKUP($B119,$B$351:$E$368,4,FALSE))</f>
        <v>8.0000000000000002E-3</v>
      </c>
      <c r="M124" s="203">
        <f>INDEX($R119:$AU133,$D124,14+VLOOKUP($B119,$B$351:$E$368,4,FALSE))</f>
        <v>13.2</v>
      </c>
      <c r="O124" s="215">
        <v>-15</v>
      </c>
      <c r="P124" s="211">
        <v>25.9</v>
      </c>
      <c r="Q124" s="212">
        <v>30.2</v>
      </c>
      <c r="R124" s="203">
        <f>ROUND((Q124-P124)/(Q118-P118),4)</f>
        <v>7.1999999999999998E-3</v>
      </c>
      <c r="S124" s="217">
        <f>ROUND(P124-P118*R124,2)</f>
        <v>11.5</v>
      </c>
      <c r="T124" s="211">
        <v>29.5</v>
      </c>
      <c r="U124" s="212">
        <v>34.4</v>
      </c>
      <c r="V124" s="203">
        <f>ROUND((U124-T124)/(U118-T118),4)</f>
        <v>8.2000000000000007E-3</v>
      </c>
      <c r="W124" s="217">
        <f>ROUND(T124-T118*V124,2)</f>
        <v>13.1</v>
      </c>
      <c r="X124" s="211">
        <v>29.8</v>
      </c>
      <c r="Y124" s="212">
        <v>34.799999999999997</v>
      </c>
      <c r="Z124" s="203">
        <f>ROUND((Y124-X124)/(Y118-X118),4)</f>
        <v>8.3000000000000001E-3</v>
      </c>
      <c r="AA124" s="217">
        <f>ROUND(X124-X118*Z124,2)</f>
        <v>13.2</v>
      </c>
      <c r="AB124" s="211">
        <v>30.9</v>
      </c>
      <c r="AC124" s="212">
        <v>36</v>
      </c>
      <c r="AD124" s="203">
        <f>ROUND((AC124-AB124)/(AC118-AB118),4)</f>
        <v>8.5000000000000006E-3</v>
      </c>
      <c r="AE124" s="217">
        <f>ROUND(AB124-AB118*AD124,2)</f>
        <v>13.9</v>
      </c>
      <c r="AF124" s="211">
        <v>35.200000000000003</v>
      </c>
      <c r="AG124" s="212">
        <v>41.8</v>
      </c>
      <c r="AH124" s="203">
        <f>ROUND((AG124-AF124)/(AG118-AF118),4)</f>
        <v>1.0999999999999999E-2</v>
      </c>
      <c r="AI124" s="217">
        <f>ROUND(AF124-AF118*AH124,2)</f>
        <v>13.2</v>
      </c>
      <c r="AJ124" s="211">
        <v>39.799999999999997</v>
      </c>
      <c r="AK124" s="212">
        <v>47.3</v>
      </c>
      <c r="AL124" s="203">
        <f>ROUND((AK124-AJ124)/(AK118-AJ118),4)</f>
        <v>1.2500000000000001E-2</v>
      </c>
      <c r="AM124" s="217">
        <f>ROUND(AJ124-AJ118*AL124,2)</f>
        <v>14.8</v>
      </c>
      <c r="AN124" s="211">
        <v>40.6</v>
      </c>
      <c r="AO124" s="212">
        <v>48.2</v>
      </c>
      <c r="AP124" s="203">
        <f>ROUND((AO124-AN124)/(AO118-AN118),4)</f>
        <v>1.2699999999999999E-2</v>
      </c>
      <c r="AQ124" s="217">
        <f>ROUND(AN124-AN118*AP124,2)</f>
        <v>15.2</v>
      </c>
      <c r="AR124" s="211">
        <v>42.9</v>
      </c>
      <c r="AS124" s="212">
        <v>50.8</v>
      </c>
      <c r="AT124" s="203">
        <f>ROUND((AS124-AR124)/(AS118-AR118),4)</f>
        <v>1.32E-2</v>
      </c>
      <c r="AU124" s="217">
        <f>ROUND(AR124-AR118*AT124,2)</f>
        <v>16.5</v>
      </c>
    </row>
    <row r="125" spans="1:47">
      <c r="D125" s="133">
        <v>8</v>
      </c>
      <c r="E125" s="133">
        <v>-5</v>
      </c>
      <c r="F125" s="203">
        <f>INDEX($R119:$AU133,$D125,1+VLOOKUP($B119,$B$351:$E$368,4,FALSE))</f>
        <v>6.3E-3</v>
      </c>
      <c r="G125" s="203">
        <f>INDEX($R119:$AU133,$D125,2+VLOOKUP($B119,$B$351:$E$368,4,FALSE))</f>
        <v>9.9</v>
      </c>
      <c r="H125" s="203">
        <f>INDEX($R119:$AU133,$D125,5+VLOOKUP($B119,$B$351:$E$368,4,FALSE))</f>
        <v>7.3000000000000001E-3</v>
      </c>
      <c r="I125" s="203">
        <f>INDEX($R119:$AU133,$D125,6+VLOOKUP($B119,$B$351:$E$368,4,FALSE))</f>
        <v>11.5</v>
      </c>
      <c r="J125" s="203">
        <f>INDEX($R119:$AU133,$D125,9+VLOOKUP($B119,$B$351:$E$368,4,FALSE))</f>
        <v>7.3000000000000001E-3</v>
      </c>
      <c r="K125" s="203">
        <f>INDEX($R119:$AU133,$D125,10+VLOOKUP($B119,$B$351:$E$368,4,FALSE))</f>
        <v>11.9</v>
      </c>
      <c r="L125" s="203">
        <f>INDEX($R119:$AU133,$D125,13+VLOOKUP($B119,$B$351:$E$368,4,FALSE))</f>
        <v>7.4999999999999997E-3</v>
      </c>
      <c r="M125" s="203">
        <f>INDEX($R119:$AU133,$D125,14+VLOOKUP($B119,$B$351:$E$368,4,FALSE))</f>
        <v>12.6</v>
      </c>
      <c r="O125" s="215">
        <v>-10</v>
      </c>
      <c r="P125" s="211">
        <v>24.2</v>
      </c>
      <c r="Q125" s="212">
        <v>28.3</v>
      </c>
      <c r="R125" s="203">
        <f>ROUND((Q125-P125)/(Q118-P118),4)</f>
        <v>6.7999999999999996E-3</v>
      </c>
      <c r="S125" s="217">
        <f>ROUND(P125-P118*R125,2)</f>
        <v>10.6</v>
      </c>
      <c r="T125" s="211">
        <v>27.8</v>
      </c>
      <c r="U125" s="212">
        <v>32.5</v>
      </c>
      <c r="V125" s="203">
        <f>ROUND((U125-T125)/(U118-T118),4)</f>
        <v>7.7999999999999996E-3</v>
      </c>
      <c r="W125" s="217">
        <f>ROUND(T125-T118*V125,2)</f>
        <v>12.2</v>
      </c>
      <c r="X125" s="211">
        <v>28.1</v>
      </c>
      <c r="Y125" s="212">
        <v>32.9</v>
      </c>
      <c r="Z125" s="203">
        <f>ROUND((Y125-X125)/(Y118-X118),4)</f>
        <v>8.0000000000000002E-3</v>
      </c>
      <c r="AA125" s="217">
        <f>ROUND(X125-X118*Z125,2)</f>
        <v>12.1</v>
      </c>
      <c r="AB125" s="211">
        <v>29.2</v>
      </c>
      <c r="AC125" s="212">
        <v>34</v>
      </c>
      <c r="AD125" s="203">
        <f>ROUND((AC125-AB125)/(AC118-AB118),4)</f>
        <v>8.0000000000000002E-3</v>
      </c>
      <c r="AE125" s="217">
        <f>ROUND(AB125-AB118*AD125,2)</f>
        <v>13.2</v>
      </c>
      <c r="AF125" s="211">
        <v>33.1</v>
      </c>
      <c r="AG125" s="212">
        <v>39.200000000000003</v>
      </c>
      <c r="AH125" s="203">
        <f>ROUND((AG125-AF125)/(AG118-AF118),4)</f>
        <v>1.0200000000000001E-2</v>
      </c>
      <c r="AI125" s="217">
        <f>ROUND(AF125-AF118*AH125,2)</f>
        <v>12.7</v>
      </c>
      <c r="AJ125" s="211">
        <v>37.6</v>
      </c>
      <c r="AK125" s="212">
        <v>44.7</v>
      </c>
      <c r="AL125" s="203">
        <f>ROUND((AK125-AJ125)/(AK118-AJ118),4)</f>
        <v>1.18E-2</v>
      </c>
      <c r="AM125" s="217">
        <f>ROUND(AJ125-AJ118*AL125,2)</f>
        <v>14</v>
      </c>
      <c r="AN125" s="211">
        <v>38.4</v>
      </c>
      <c r="AO125" s="212">
        <v>45.5</v>
      </c>
      <c r="AP125" s="203">
        <f>ROUND((AO125-AN125)/(AO118-AN118),4)</f>
        <v>1.18E-2</v>
      </c>
      <c r="AQ125" s="217">
        <f>ROUND(AN125-AN118*AP125,2)</f>
        <v>14.8</v>
      </c>
      <c r="AR125" s="211">
        <v>40.700000000000003</v>
      </c>
      <c r="AS125" s="212">
        <v>48.1</v>
      </c>
      <c r="AT125" s="203">
        <f>ROUND((AS125-AR125)/(AS118-AR118),4)</f>
        <v>1.23E-2</v>
      </c>
      <c r="AU125" s="217">
        <f>ROUND(AR125-AR118*AT125,2)</f>
        <v>16.100000000000001</v>
      </c>
    </row>
    <row r="126" spans="1:47">
      <c r="A126" t="s">
        <v>254</v>
      </c>
      <c r="B126" s="163" t="e">
        <f>B118*B123+B124</f>
        <v>#REF!</v>
      </c>
      <c r="D126" s="133">
        <v>9</v>
      </c>
      <c r="E126" s="133">
        <v>0</v>
      </c>
      <c r="F126" s="203">
        <f>INDEX($R119:$AU133,$D126,1+VLOOKUP($B119,$B$351:$E$368,4,FALSE))</f>
        <v>5.7999999999999996E-3</v>
      </c>
      <c r="G126" s="203">
        <f>INDEX($R119:$AU133,$D126,2+VLOOKUP($B119,$B$351:$E$368,4,FALSE))</f>
        <v>9.3000000000000007</v>
      </c>
      <c r="H126" s="203">
        <f>INDEX($R119:$AU133,$D126,5+VLOOKUP($B119,$B$351:$E$368,4,FALSE))</f>
        <v>6.7999999999999996E-3</v>
      </c>
      <c r="I126" s="203">
        <f>INDEX($R119:$AU133,$D126,6+VLOOKUP($B119,$B$351:$E$368,4,FALSE))</f>
        <v>10.9</v>
      </c>
      <c r="J126" s="203">
        <f>INDEX($R119:$AU133,$D126,9+VLOOKUP($B119,$B$351:$E$368,4,FALSE))</f>
        <v>6.7999999999999996E-3</v>
      </c>
      <c r="K126" s="203">
        <f>INDEX($R119:$AU133,$D126,10+VLOOKUP($B119,$B$351:$E$368,4,FALSE))</f>
        <v>11.2</v>
      </c>
      <c r="L126" s="203">
        <f>INDEX($R119:$AU133,$D126,13+VLOOKUP($B119,$B$351:$E$368,4,FALSE))</f>
        <v>7.0000000000000001E-3</v>
      </c>
      <c r="M126" s="203">
        <f>INDEX($R119:$AU133,$D126,14+VLOOKUP($B119,$B$351:$E$368,4,FALSE))</f>
        <v>11.9</v>
      </c>
      <c r="O126" s="215">
        <v>-5</v>
      </c>
      <c r="P126" s="211">
        <v>22.5</v>
      </c>
      <c r="Q126" s="212">
        <v>26.3</v>
      </c>
      <c r="R126" s="203">
        <f>ROUND((Q126-P126)/(Q118-P118),4)</f>
        <v>6.3E-3</v>
      </c>
      <c r="S126" s="217">
        <f>ROUND(P126-P118*R126,2)</f>
        <v>9.9</v>
      </c>
      <c r="T126" s="211">
        <v>26.1</v>
      </c>
      <c r="U126" s="212">
        <v>30.5</v>
      </c>
      <c r="V126" s="203">
        <f>ROUND((U126-T126)/(U118-T118),4)</f>
        <v>7.3000000000000001E-3</v>
      </c>
      <c r="W126" s="217">
        <f>ROUND(T126-T118*V126,2)</f>
        <v>11.5</v>
      </c>
      <c r="X126" s="211">
        <v>26.5</v>
      </c>
      <c r="Y126" s="212">
        <v>30.9</v>
      </c>
      <c r="Z126" s="203">
        <f>ROUND((Y126-X126)/(Y118-X118),4)</f>
        <v>7.3000000000000001E-3</v>
      </c>
      <c r="AA126" s="217">
        <f>ROUND(X126-X118*Z126,2)</f>
        <v>11.9</v>
      </c>
      <c r="AB126" s="211">
        <v>27.6</v>
      </c>
      <c r="AC126" s="212">
        <v>32.1</v>
      </c>
      <c r="AD126" s="203">
        <f>ROUND((AC126-AB126)/(AC118-AB118),4)</f>
        <v>7.4999999999999997E-3</v>
      </c>
      <c r="AE126" s="217">
        <f>ROUND(AB126-AB118*AD126,2)</f>
        <v>12.6</v>
      </c>
      <c r="AF126" s="211">
        <v>30.9</v>
      </c>
      <c r="AG126" s="212">
        <v>36.6</v>
      </c>
      <c r="AH126" s="203">
        <f>ROUND((AG126-AF126)/(AG118-AF118),4)</f>
        <v>9.4999999999999998E-3</v>
      </c>
      <c r="AI126" s="217">
        <f>ROUND(AF126-AF118*AH126,2)</f>
        <v>11.9</v>
      </c>
      <c r="AJ126" s="211">
        <v>35.5</v>
      </c>
      <c r="AK126" s="212">
        <v>42.1</v>
      </c>
      <c r="AL126" s="203">
        <f>ROUND((AK126-AJ126)/(AK118-AJ118),4)</f>
        <v>1.0999999999999999E-2</v>
      </c>
      <c r="AM126" s="217">
        <f>ROUND(AJ126-AJ118*AL126,2)</f>
        <v>13.5</v>
      </c>
      <c r="AN126" s="211">
        <v>36.200000000000003</v>
      </c>
      <c r="AO126" s="212">
        <v>43</v>
      </c>
      <c r="AP126" s="203">
        <f>ROUND((AO126-AN126)/(AO118-AN118),4)</f>
        <v>1.1299999999999999E-2</v>
      </c>
      <c r="AQ126" s="217">
        <f>ROUND(AN126-AN118*AP126,2)</f>
        <v>13.6</v>
      </c>
      <c r="AR126" s="211">
        <v>38.5</v>
      </c>
      <c r="AS126" s="212">
        <v>45.6</v>
      </c>
      <c r="AT126" s="203">
        <f>ROUND((AS126-AR126)/(AS118-AR118),4)</f>
        <v>1.18E-2</v>
      </c>
      <c r="AU126" s="217">
        <f>ROUND(AR126-AR118*AT126,2)</f>
        <v>14.9</v>
      </c>
    </row>
    <row r="127" spans="1:47">
      <c r="A127" t="s">
        <v>255</v>
      </c>
      <c r="B127" s="163" t="e">
        <f>ROUND(B126/(0.000335*B118),1)+B121</f>
        <v>#REF!</v>
      </c>
      <c r="D127" s="133">
        <v>10</v>
      </c>
      <c r="E127" s="133">
        <v>5</v>
      </c>
      <c r="F127" s="203">
        <f>INDEX($R119:$AU133,$D127,1+VLOOKUP($B119,$B$351:$E$368,4,FALSE))</f>
        <v>5.3E-3</v>
      </c>
      <c r="G127" s="203">
        <f>INDEX($R119:$AU133,$D127,2+VLOOKUP($B119,$B$351:$E$368,4,FALSE))</f>
        <v>8.6</v>
      </c>
      <c r="H127" s="203">
        <f>INDEX($R119:$AU133,$D127,5+VLOOKUP($B119,$B$351:$E$368,4,FALSE))</f>
        <v>6.3E-3</v>
      </c>
      <c r="I127" s="203">
        <f>INDEX($R119:$AU133,$D127,6+VLOOKUP($B119,$B$351:$E$368,4,FALSE))</f>
        <v>10.199999999999999</v>
      </c>
      <c r="J127" s="203">
        <f>INDEX($R119:$AU133,$D127,9+VLOOKUP($B119,$B$351:$E$368,4,FALSE))</f>
        <v>6.4999999999999997E-3</v>
      </c>
      <c r="K127" s="203">
        <f>INDEX($R119:$AU133,$D127,10+VLOOKUP($B119,$B$351:$E$368,4,FALSE))</f>
        <v>10.1</v>
      </c>
      <c r="L127" s="203">
        <f>INDEX($R119:$AU133,$D127,13+VLOOKUP($B119,$B$351:$E$368,4,FALSE))</f>
        <v>6.4999999999999997E-3</v>
      </c>
      <c r="M127" s="203">
        <f>INDEX($R119:$AU133,$D127,14+VLOOKUP($B119,$B$351:$E$368,4,FALSE))</f>
        <v>11.2</v>
      </c>
      <c r="O127" s="215">
        <v>0</v>
      </c>
      <c r="P127" s="211">
        <v>20.9</v>
      </c>
      <c r="Q127" s="212">
        <v>24.4</v>
      </c>
      <c r="R127" s="203">
        <f>ROUND((Q127-P127)/(Q118-P118),4)</f>
        <v>5.7999999999999996E-3</v>
      </c>
      <c r="S127" s="217">
        <f>ROUND(P127-P118*R127,2)</f>
        <v>9.3000000000000007</v>
      </c>
      <c r="T127" s="211">
        <v>24.5</v>
      </c>
      <c r="U127" s="212">
        <v>28.6</v>
      </c>
      <c r="V127" s="203">
        <f>ROUND((U127-T127)/(U118-T118),4)</f>
        <v>6.7999999999999996E-3</v>
      </c>
      <c r="W127" s="217">
        <f>ROUND(T127-T118*V127,2)</f>
        <v>10.9</v>
      </c>
      <c r="X127" s="211">
        <v>24.8</v>
      </c>
      <c r="Y127" s="212">
        <v>28.9</v>
      </c>
      <c r="Z127" s="203">
        <f>ROUND((Y127-X127)/(Y118-X118),4)</f>
        <v>6.7999999999999996E-3</v>
      </c>
      <c r="AA127" s="217">
        <f>ROUND(X127-X118*Z127,2)</f>
        <v>11.2</v>
      </c>
      <c r="AB127" s="211">
        <v>25.9</v>
      </c>
      <c r="AC127" s="212">
        <v>30.1</v>
      </c>
      <c r="AD127" s="203">
        <f>ROUND((AC127-AB127)/(AC118-AB118),4)</f>
        <v>7.0000000000000001E-3</v>
      </c>
      <c r="AE127" s="217">
        <f>ROUND(AB127-AB118*AD127,2)</f>
        <v>11.9</v>
      </c>
      <c r="AF127" s="211">
        <v>28.7</v>
      </c>
      <c r="AG127" s="212">
        <v>34.1</v>
      </c>
      <c r="AH127" s="203">
        <f>ROUND((AG127-AF127)/(AG118-AF118),4)</f>
        <v>8.9999999999999993E-3</v>
      </c>
      <c r="AI127" s="217">
        <f>ROUND(AF127-AF118*AH127,2)</f>
        <v>10.7</v>
      </c>
      <c r="AJ127" s="211">
        <v>33.299999999999997</v>
      </c>
      <c r="AK127" s="212">
        <v>39.5</v>
      </c>
      <c r="AL127" s="203">
        <f>ROUND((AK127-AJ127)/(AK118-AJ118),4)</f>
        <v>1.03E-2</v>
      </c>
      <c r="AM127" s="217">
        <f>ROUND(AJ127-AJ118*AL127,2)</f>
        <v>12.7</v>
      </c>
      <c r="AN127" s="211">
        <v>34</v>
      </c>
      <c r="AO127" s="212">
        <v>40.299999999999997</v>
      </c>
      <c r="AP127" s="203">
        <f>ROUND((AO127-AN127)/(AO118-AN118),4)</f>
        <v>1.0500000000000001E-2</v>
      </c>
      <c r="AQ127" s="217">
        <f>ROUND(AN127-AN118*AP127,2)</f>
        <v>13</v>
      </c>
      <c r="AR127" s="211">
        <v>36.299999999999997</v>
      </c>
      <c r="AS127" s="212">
        <v>42.9</v>
      </c>
      <c r="AT127" s="203">
        <f>ROUND((AS127-AR127)/(AS118-AR118),4)</f>
        <v>1.0999999999999999E-2</v>
      </c>
      <c r="AU127" s="217">
        <f>ROUND(AR127-AR118*AT127,2)</f>
        <v>14.3</v>
      </c>
    </row>
    <row r="128" spans="1:47">
      <c r="D128" s="133">
        <v>11</v>
      </c>
      <c r="E128" s="133">
        <v>10</v>
      </c>
      <c r="F128" s="203">
        <f>INDEX($R119:$AU133,$D128,1+VLOOKUP($B119,$B$351:$E$368,4,FALSE))</f>
        <v>4.7999999999999996E-3</v>
      </c>
      <c r="G128" s="203">
        <f>INDEX($R119:$AU133,$D128,2+VLOOKUP($B119,$B$351:$E$368,4,FALSE))</f>
        <v>8</v>
      </c>
      <c r="H128" s="203">
        <f>INDEX($R119:$AU133,$D128,5+VLOOKUP($B119,$B$351:$E$368,4,FALSE))</f>
        <v>5.7999999999999996E-3</v>
      </c>
      <c r="I128" s="203">
        <f>INDEX($R119:$AU133,$D128,6+VLOOKUP($B119,$B$351:$E$368,4,FALSE))</f>
        <v>9.5</v>
      </c>
      <c r="J128" s="203">
        <f>INDEX($R119:$AU133,$D128,9+VLOOKUP($B119,$B$351:$E$368,4,FALSE))</f>
        <v>5.7999999999999996E-3</v>
      </c>
      <c r="K128" s="203">
        <f>INDEX($R119:$AU133,$D128,10+VLOOKUP($B119,$B$351:$E$368,4,FALSE))</f>
        <v>9.9</v>
      </c>
      <c r="L128" s="203">
        <f>INDEX($R119:$AU133,$D128,13+VLOOKUP($B119,$B$351:$E$368,4,FALSE))</f>
        <v>6.1999999999999998E-3</v>
      </c>
      <c r="M128" s="203">
        <f>INDEX($R119:$AU133,$D128,14+VLOOKUP($B119,$B$351:$E$368,4,FALSE))</f>
        <v>10.1</v>
      </c>
      <c r="O128" s="215">
        <v>5</v>
      </c>
      <c r="P128" s="211">
        <v>19.2</v>
      </c>
      <c r="Q128" s="212">
        <v>22.4</v>
      </c>
      <c r="R128" s="203">
        <f>ROUND((Q128-P128)/(Q118-P118),4)</f>
        <v>5.3E-3</v>
      </c>
      <c r="S128" s="217">
        <f>ROUND(P128-P118*R128,2)</f>
        <v>8.6</v>
      </c>
      <c r="T128" s="211">
        <v>22.8</v>
      </c>
      <c r="U128" s="212">
        <v>26.6</v>
      </c>
      <c r="V128" s="203">
        <f>ROUND((U128-T128)/(U118-T118),4)</f>
        <v>6.3E-3</v>
      </c>
      <c r="W128" s="217">
        <f>ROUND(T128-T118*V128,2)</f>
        <v>10.199999999999999</v>
      </c>
      <c r="X128" s="211">
        <v>23.1</v>
      </c>
      <c r="Y128" s="212">
        <v>27</v>
      </c>
      <c r="Z128" s="203">
        <f>ROUND((Y128-X128)/(Y118-X118),4)</f>
        <v>6.4999999999999997E-3</v>
      </c>
      <c r="AA128" s="217">
        <f>ROUND(X128-X118*Z128,2)</f>
        <v>10.1</v>
      </c>
      <c r="AB128" s="211">
        <v>24.2</v>
      </c>
      <c r="AC128" s="212">
        <v>28.1</v>
      </c>
      <c r="AD128" s="203">
        <f>ROUND((AC128-AB128)/(AC118-AB118),4)</f>
        <v>6.4999999999999997E-3</v>
      </c>
      <c r="AE128" s="217">
        <f>ROUND(AB128-AB118*AD128,2)</f>
        <v>11.2</v>
      </c>
      <c r="AF128" s="211">
        <v>26.5</v>
      </c>
      <c r="AG128" s="212">
        <v>31.4</v>
      </c>
      <c r="AH128" s="203">
        <f>ROUND((AG128-AF128)/(AG118-AF118),4)</f>
        <v>8.2000000000000007E-3</v>
      </c>
      <c r="AI128" s="217">
        <f>ROUND(AF128-AF118*AH128,2)</f>
        <v>10.1</v>
      </c>
      <c r="AJ128" s="211">
        <v>31.1</v>
      </c>
      <c r="AK128" s="212">
        <v>36.9</v>
      </c>
      <c r="AL128" s="203">
        <f>ROUND((AK128-AJ128)/(AK118-AJ118),4)</f>
        <v>9.7000000000000003E-3</v>
      </c>
      <c r="AM128" s="217">
        <f>ROUND(AJ128-AJ118*AL128,2)</f>
        <v>11.7</v>
      </c>
      <c r="AN128" s="211">
        <v>31.9</v>
      </c>
      <c r="AO128" s="212">
        <v>37.700000000000003</v>
      </c>
      <c r="AP128" s="203">
        <f>ROUND((AO128-AN128)/(AO118-AN118),4)</f>
        <v>9.7000000000000003E-3</v>
      </c>
      <c r="AQ128" s="217">
        <f>ROUND(AN128-AN118*AP128,2)</f>
        <v>12.5</v>
      </c>
      <c r="AR128" s="211">
        <v>34.1</v>
      </c>
      <c r="AS128" s="212">
        <v>40.299999999999997</v>
      </c>
      <c r="AT128" s="203">
        <f>ROUND((AS128-AR128)/(AS118-AR118),4)</f>
        <v>1.03E-2</v>
      </c>
      <c r="AU128" s="217">
        <f>ROUND(AR128-AR118*AT128,2)</f>
        <v>13.5</v>
      </c>
    </row>
    <row r="129" spans="1:47">
      <c r="A129" t="s">
        <v>256</v>
      </c>
      <c r="B129" s="163" t="e">
        <f>ROUND(B126/(4183*VLOOKUP(B120,B$345:E$348,4,FALSE))*3600,2)</f>
        <v>#REF!</v>
      </c>
      <c r="D129" s="133">
        <v>12</v>
      </c>
      <c r="E129" s="133">
        <v>15</v>
      </c>
      <c r="F129" s="203">
        <f>INDEX($R119:$AU133,$D129,1+VLOOKUP($B119,$B$351:$E$368,4,FALSE))</f>
        <v>4.3E-3</v>
      </c>
      <c r="G129" s="203">
        <f>INDEX($R119:$AU133,$D129,2+VLOOKUP($B119,$B$351:$E$368,4,FALSE))</f>
        <v>7.3</v>
      </c>
      <c r="H129" s="203">
        <f>INDEX($R119:$AU133,$D129,5+VLOOKUP($B119,$B$351:$E$368,4,FALSE))</f>
        <v>5.3E-3</v>
      </c>
      <c r="I129" s="203">
        <f>INDEX($R119:$AU133,$D129,6+VLOOKUP($B119,$B$351:$E$368,4,FALSE))</f>
        <v>8.9</v>
      </c>
      <c r="J129" s="203">
        <f>INDEX($R119:$AU133,$D129,9+VLOOKUP($B119,$B$351:$E$368,4,FALSE))</f>
        <v>5.3E-3</v>
      </c>
      <c r="K129" s="203">
        <f>INDEX($R119:$AU133,$D129,10+VLOOKUP($B119,$B$351:$E$368,4,FALSE))</f>
        <v>9.1999999999999993</v>
      </c>
      <c r="L129" s="203">
        <f>INDEX($R119:$AU133,$D129,13+VLOOKUP($B119,$B$351:$E$368,4,FALSE))</f>
        <v>5.4999999999999997E-3</v>
      </c>
      <c r="M129" s="203">
        <f>INDEX($R119:$AU133,$D129,14+VLOOKUP($B119,$B$351:$E$368,4,FALSE))</f>
        <v>9.9</v>
      </c>
      <c r="O129" s="215">
        <v>10</v>
      </c>
      <c r="P129" s="211">
        <v>17.600000000000001</v>
      </c>
      <c r="Q129" s="212">
        <v>20.5</v>
      </c>
      <c r="R129" s="203">
        <f>ROUND((Q129-P129)/(Q118-P118),4)</f>
        <v>4.7999999999999996E-3</v>
      </c>
      <c r="S129" s="217">
        <f>ROUND(P129-P118*R129,2)</f>
        <v>8</v>
      </c>
      <c r="T129" s="211">
        <v>21.1</v>
      </c>
      <c r="U129" s="212">
        <v>24.6</v>
      </c>
      <c r="V129" s="203">
        <f>ROUND((U129-T129)/(U118-T118),4)</f>
        <v>5.7999999999999996E-3</v>
      </c>
      <c r="W129" s="217">
        <f>ROUND(T129-T118*V129,2)</f>
        <v>9.5</v>
      </c>
      <c r="X129" s="211">
        <v>21.5</v>
      </c>
      <c r="Y129" s="212">
        <v>25</v>
      </c>
      <c r="Z129" s="203">
        <f>ROUND((Y129-X129)/(Y118-X118),4)</f>
        <v>5.7999999999999996E-3</v>
      </c>
      <c r="AA129" s="217">
        <f>ROUND(X129-X118*Z129,2)</f>
        <v>9.9</v>
      </c>
      <c r="AB129" s="211">
        <v>22.5</v>
      </c>
      <c r="AC129" s="212">
        <v>26.2</v>
      </c>
      <c r="AD129" s="203">
        <f>ROUND((AC129-AB129)/(AC118-AB118),4)</f>
        <v>6.1999999999999998E-3</v>
      </c>
      <c r="AE129" s="217">
        <f>ROUND(AB129-AB118*AD129,2)</f>
        <v>10.1</v>
      </c>
      <c r="AF129" s="211">
        <v>24.4</v>
      </c>
      <c r="AG129" s="212">
        <v>28.8</v>
      </c>
      <c r="AH129" s="203">
        <f>ROUND((AG129-AF129)/(AG118-AF118),4)</f>
        <v>7.3000000000000001E-3</v>
      </c>
      <c r="AI129" s="217">
        <f>ROUND(AF129-AF118*AH129,2)</f>
        <v>9.8000000000000007</v>
      </c>
      <c r="AJ129" s="211">
        <v>28.9</v>
      </c>
      <c r="AK129" s="212">
        <v>34.299999999999997</v>
      </c>
      <c r="AL129" s="203">
        <f>ROUND((AK129-AJ129)/(AK118-AJ118),4)</f>
        <v>8.9999999999999993E-3</v>
      </c>
      <c r="AM129" s="217">
        <f>ROUND(AJ129-AJ118*AL129,2)</f>
        <v>10.9</v>
      </c>
      <c r="AN129" s="211">
        <v>29.7</v>
      </c>
      <c r="AO129" s="212">
        <v>35.1</v>
      </c>
      <c r="AP129" s="203">
        <f>ROUND((AO129-AN129)/(AO118-AN118),4)</f>
        <v>8.9999999999999993E-3</v>
      </c>
      <c r="AQ129" s="217">
        <f>ROUND(AN129-AN118*AP129,2)</f>
        <v>11.7</v>
      </c>
      <c r="AR129" s="211">
        <v>31.9</v>
      </c>
      <c r="AS129" s="212">
        <v>37.6</v>
      </c>
      <c r="AT129" s="203">
        <f>ROUND((AS129-AR129)/(AS118-AR118),4)</f>
        <v>9.4999999999999998E-3</v>
      </c>
      <c r="AU129" s="217">
        <f>ROUND(AR129-AR118*AT129,2)</f>
        <v>12.9</v>
      </c>
    </row>
    <row r="130" spans="1:47">
      <c r="A130" t="s">
        <v>257</v>
      </c>
      <c r="B130" s="163" t="e">
        <f>ROUND(100*POWER(B129/VLOOKUP(B119,B$351:C$368,2,FALSE),2),1)</f>
        <v>#REF!</v>
      </c>
      <c r="D130" s="133">
        <v>13</v>
      </c>
      <c r="E130" s="133">
        <v>20</v>
      </c>
      <c r="F130" s="203">
        <f>INDEX($R119:$AU133,$D130,1+VLOOKUP($B119,$B$351:$E$368,4,FALSE))</f>
        <v>3.8999999999999998E-3</v>
      </c>
      <c r="G130" s="203">
        <f>INDEX($R119:$AU133,$D130,2+VLOOKUP($B119,$B$351:$E$368,4,FALSE))</f>
        <v>6.43</v>
      </c>
      <c r="H130" s="203">
        <f>INDEX($R119:$AU133,$D130,5+VLOOKUP($B119,$B$351:$E$368,4,FALSE))</f>
        <v>4.7999999999999996E-3</v>
      </c>
      <c r="I130" s="203">
        <f>INDEX($R119:$AU133,$D130,6+VLOOKUP($B119,$B$351:$E$368,4,FALSE))</f>
        <v>8.1999999999999993</v>
      </c>
      <c r="J130" s="203">
        <f>INDEX($R119:$AU133,$D130,9+VLOOKUP($B119,$B$351:$E$368,4,FALSE))</f>
        <v>4.8999999999999998E-3</v>
      </c>
      <c r="K130" s="203">
        <f>INDEX($R119:$AU133,$D130,10+VLOOKUP($B119,$B$351:$E$368,4,FALSE))</f>
        <v>8.34</v>
      </c>
      <c r="L130" s="203">
        <f>INDEX($R119:$AU133,$D130,13+VLOOKUP($B119,$B$351:$E$368,4,FALSE))</f>
        <v>5.1000000000000004E-3</v>
      </c>
      <c r="M130" s="203">
        <f>INDEX($R119:$AU133,$D130,14+VLOOKUP($B119,$B$351:$E$368,4,FALSE))</f>
        <v>8.9700000000000006</v>
      </c>
      <c r="O130" s="215">
        <v>15</v>
      </c>
      <c r="P130" s="211">
        <v>15.9</v>
      </c>
      <c r="Q130" s="212">
        <v>18.5</v>
      </c>
      <c r="R130" s="203">
        <f>ROUND((Q130-P130)/(Q118-P118),4)</f>
        <v>4.3E-3</v>
      </c>
      <c r="S130" s="217">
        <f>ROUND(P130-P118*R130,2)</f>
        <v>7.3</v>
      </c>
      <c r="T130" s="211">
        <v>19.5</v>
      </c>
      <c r="U130" s="212">
        <v>22.7</v>
      </c>
      <c r="V130" s="203">
        <f>ROUND((U130-T130)/(U118-T118),4)</f>
        <v>5.3E-3</v>
      </c>
      <c r="W130" s="217">
        <f>ROUND(T130-T118*V130,2)</f>
        <v>8.9</v>
      </c>
      <c r="X130" s="211">
        <v>19.8</v>
      </c>
      <c r="Y130" s="212">
        <v>23</v>
      </c>
      <c r="Z130" s="203">
        <f>ROUND((Y130-X130)/(Y118-X118),4)</f>
        <v>5.3E-3</v>
      </c>
      <c r="AA130" s="217">
        <f>ROUND(X130-X118*Z130,2)</f>
        <v>9.1999999999999993</v>
      </c>
      <c r="AB130" s="211">
        <v>20.9</v>
      </c>
      <c r="AC130" s="212">
        <v>24.2</v>
      </c>
      <c r="AD130" s="203">
        <f>ROUND((AC130-AB130)/(AC118-AB118),4)</f>
        <v>5.4999999999999997E-3</v>
      </c>
      <c r="AE130" s="217">
        <f>ROUND(AB130-AB118*AD130,2)</f>
        <v>9.9</v>
      </c>
      <c r="AF130" s="211">
        <v>22.2</v>
      </c>
      <c r="AG130" s="212">
        <v>26.2</v>
      </c>
      <c r="AH130" s="203">
        <f>ROUND((AG130-AF130)/(AG118-AF118),4)</f>
        <v>6.7000000000000002E-3</v>
      </c>
      <c r="AI130" s="217">
        <f>ROUND(AF130-AF118*AH130,2)</f>
        <v>8.8000000000000007</v>
      </c>
      <c r="AJ130" s="211">
        <v>26.8</v>
      </c>
      <c r="AK130" s="212">
        <v>31.7</v>
      </c>
      <c r="AL130" s="203">
        <f>ROUND((AK130-AJ130)/(AK118-AJ118),4)</f>
        <v>8.2000000000000007E-3</v>
      </c>
      <c r="AM130" s="217">
        <f>ROUND(AJ130-AJ118*AL130,2)</f>
        <v>10.4</v>
      </c>
      <c r="AN130" s="211">
        <v>27.5</v>
      </c>
      <c r="AO130" s="212">
        <v>32.5</v>
      </c>
      <c r="AP130" s="203">
        <f>ROUND((AO130-AN130)/(AO118-AN118),4)</f>
        <v>8.3000000000000001E-3</v>
      </c>
      <c r="AQ130" s="217">
        <f>ROUND(AN130-AN118*AP130,2)</f>
        <v>10.9</v>
      </c>
      <c r="AR130" s="211">
        <v>29.7</v>
      </c>
      <c r="AS130" s="212">
        <v>35</v>
      </c>
      <c r="AT130" s="203">
        <f>ROUND((AS130-AR130)/(AS118-AR118),4)</f>
        <v>8.8000000000000005E-3</v>
      </c>
      <c r="AU130" s="217">
        <f>ROUND(AR130-AR118*AT130,2)</f>
        <v>12.1</v>
      </c>
    </row>
    <row r="131" spans="1:47">
      <c r="D131" s="133">
        <v>14</v>
      </c>
      <c r="E131" s="133">
        <v>25</v>
      </c>
      <c r="F131" s="203">
        <f>INDEX($R119:$AU133,$D131,1+VLOOKUP($B119,$B$351:$E$368,4,FALSE))</f>
        <v>3.3999999999999998E-3</v>
      </c>
      <c r="G131" s="203">
        <f>INDEX($R119:$AU133,$D131,2+VLOOKUP($B119,$B$351:$E$368,4,FALSE))</f>
        <v>5.76</v>
      </c>
      <c r="H131" s="203">
        <f>INDEX($R119:$AU133,$D131,5+VLOOKUP($B119,$B$351:$E$368,4,FALSE))</f>
        <v>4.3E-3</v>
      </c>
      <c r="I131" s="203">
        <f>INDEX($R119:$AU133,$D131,6+VLOOKUP($B119,$B$351:$E$368,4,FALSE))</f>
        <v>7.53</v>
      </c>
      <c r="J131" s="203">
        <f>INDEX($R119:$AU133,$D131,9+VLOOKUP($B119,$B$351:$E$368,4,FALSE))</f>
        <v>4.4999999999999997E-3</v>
      </c>
      <c r="K131" s="203">
        <f>INDEX($R119:$AU133,$D131,10+VLOOKUP($B119,$B$351:$E$368,4,FALSE))</f>
        <v>7.47</v>
      </c>
      <c r="L131" s="203">
        <f>INDEX($R119:$AU133,$D131,13+VLOOKUP($B119,$B$351:$E$368,4,FALSE))</f>
        <v>4.5999999999999999E-3</v>
      </c>
      <c r="M131" s="203">
        <f>INDEX($R119:$AU133,$D131,14+VLOOKUP($B119,$B$351:$E$368,4,FALSE))</f>
        <v>8.2899999999999991</v>
      </c>
      <c r="O131" s="215">
        <v>20</v>
      </c>
      <c r="P131" s="211">
        <v>14.226666666666601</v>
      </c>
      <c r="Q131" s="212">
        <v>16.566666666666698</v>
      </c>
      <c r="R131" s="203">
        <f>ROUND((Q131-P131)/(Q118-P118),4)</f>
        <v>3.8999999999999998E-3</v>
      </c>
      <c r="S131" s="217">
        <f>ROUND(P131-P118*R131,2)</f>
        <v>6.43</v>
      </c>
      <c r="T131" s="211">
        <v>17.8</v>
      </c>
      <c r="U131" s="212">
        <v>20.7</v>
      </c>
      <c r="V131" s="203">
        <f>ROUND((U131-T131)/(U118-T118),4)</f>
        <v>4.7999999999999996E-3</v>
      </c>
      <c r="W131" s="217">
        <f>ROUND(T131-T118*V131,2)</f>
        <v>8.1999999999999993</v>
      </c>
      <c r="X131" s="211">
        <v>18.14</v>
      </c>
      <c r="Y131" s="212">
        <v>21.1</v>
      </c>
      <c r="Z131" s="203">
        <f>ROUND((Y131-X131)/(Y118-X118),4)</f>
        <v>4.8999999999999998E-3</v>
      </c>
      <c r="AA131" s="217">
        <f>ROUND(X131-X118*Z131,2)</f>
        <v>8.34</v>
      </c>
      <c r="AB131" s="211">
        <v>19.1733333333333</v>
      </c>
      <c r="AC131" s="212">
        <v>22.24</v>
      </c>
      <c r="AD131" s="203">
        <f>ROUND((AC131-AB131)/(AC118-AB118),4)</f>
        <v>5.1000000000000004E-3</v>
      </c>
      <c r="AE131" s="217">
        <f>ROUND(AB131-AB118*AD131,2)</f>
        <v>8.9700000000000006</v>
      </c>
      <c r="AF131" s="211">
        <v>20.0133333333333</v>
      </c>
      <c r="AG131" s="212">
        <v>23.62</v>
      </c>
      <c r="AH131" s="203">
        <f>ROUND((AG131-AF131)/(AG118-AF118),4)</f>
        <v>6.0000000000000001E-3</v>
      </c>
      <c r="AI131" s="217">
        <f>ROUND(AF131-AF118*AH131,2)</f>
        <v>8.01</v>
      </c>
      <c r="AJ131" s="211">
        <v>24.533333333333299</v>
      </c>
      <c r="AK131" s="212">
        <v>29.1</v>
      </c>
      <c r="AL131" s="203">
        <f>ROUND((AK131-AJ131)/(AK118-AJ118),4)</f>
        <v>7.6E-3</v>
      </c>
      <c r="AM131" s="217">
        <f>ROUND(AJ131-AJ118*AL131,2)</f>
        <v>9.33</v>
      </c>
      <c r="AN131" s="211">
        <v>25.3333333333333</v>
      </c>
      <c r="AO131" s="212">
        <v>29.873333333333399</v>
      </c>
      <c r="AP131" s="203">
        <f>ROUND((AO131-AN131)/(AO118-AN118),4)</f>
        <v>7.6E-3</v>
      </c>
      <c r="AQ131" s="217">
        <f>ROUND(AN131-AN118*AP131,2)</f>
        <v>10.130000000000001</v>
      </c>
      <c r="AR131" s="211">
        <v>27.46</v>
      </c>
      <c r="AS131" s="212">
        <v>32.4</v>
      </c>
      <c r="AT131" s="203">
        <f>ROUND((AS131-AR131)/(AS118-AR118),4)</f>
        <v>8.2000000000000007E-3</v>
      </c>
      <c r="AU131" s="217">
        <f>ROUND(AR131-AR118*AT131,2)</f>
        <v>11.06</v>
      </c>
    </row>
    <row r="132" spans="1:47">
      <c r="D132" s="133">
        <v>15</v>
      </c>
      <c r="E132" s="133">
        <v>30</v>
      </c>
      <c r="F132" s="203">
        <f>INDEX($R119:$AU133,$D132,1+VLOOKUP($B119,$B$351:$E$368,4,FALSE))</f>
        <v>2.8999999999999998E-3</v>
      </c>
      <c r="G132" s="203">
        <f>INDEX($R119:$AU133,$D132,2+VLOOKUP($B119,$B$351:$E$368,4,FALSE))</f>
        <v>5.09</v>
      </c>
      <c r="H132" s="203">
        <f>INDEX($R119:$AU133,$D132,5+VLOOKUP($B119,$B$351:$E$368,4,FALSE))</f>
        <v>3.8E-3</v>
      </c>
      <c r="I132" s="203">
        <f>INDEX($R119:$AU133,$D132,6+VLOOKUP($B119,$B$351:$E$368,4,FALSE))</f>
        <v>6.87</v>
      </c>
      <c r="J132" s="203">
        <f>INDEX($R119:$AU133,$D132,9+VLOOKUP($B119,$B$351:$E$368,4,FALSE))</f>
        <v>4.0000000000000001E-3</v>
      </c>
      <c r="K132" s="203">
        <f>INDEX($R119:$AU133,$D132,10+VLOOKUP($B119,$B$351:$E$368,4,FALSE))</f>
        <v>6.81</v>
      </c>
      <c r="L132" s="203">
        <f>INDEX($R119:$AU133,$D132,13+VLOOKUP($B119,$B$351:$E$368,4,FALSE))</f>
        <v>4.1999999999999997E-3</v>
      </c>
      <c r="M132" s="203">
        <f>INDEX($R119:$AU133,$D132,14+VLOOKUP($B119,$B$351:$E$368,4,FALSE))</f>
        <v>7.41</v>
      </c>
      <c r="O132" s="215">
        <v>25</v>
      </c>
      <c r="P132" s="211">
        <v>12.560606060606</v>
      </c>
      <c r="Q132" s="212">
        <v>14.615151515151499</v>
      </c>
      <c r="R132" s="203">
        <f>ROUND((Q132-P132)/(Q118-P118),4)</f>
        <v>3.3999999999999998E-3</v>
      </c>
      <c r="S132" s="217">
        <f>ROUND(P132-P118*R132,2)</f>
        <v>5.76</v>
      </c>
      <c r="T132" s="211">
        <v>16.132727272727301</v>
      </c>
      <c r="U132" s="212">
        <v>18.734545454545501</v>
      </c>
      <c r="V132" s="203">
        <f>ROUND((U132-T132)/(U118-T118),4)</f>
        <v>4.3E-3</v>
      </c>
      <c r="W132" s="217">
        <f>ROUND(T132-T118*V132,2)</f>
        <v>7.53</v>
      </c>
      <c r="X132" s="211">
        <v>16.474545454545499</v>
      </c>
      <c r="Y132" s="212">
        <v>19.149090909090901</v>
      </c>
      <c r="Z132" s="203">
        <f>ROUND((Y132-X132)/(Y118-X118),4)</f>
        <v>4.4999999999999997E-3</v>
      </c>
      <c r="AA132" s="217">
        <f>ROUND(X132-X118*Z132,2)</f>
        <v>7.47</v>
      </c>
      <c r="AB132" s="211">
        <v>17.493939393939399</v>
      </c>
      <c r="AC132" s="212">
        <v>20.2745454545454</v>
      </c>
      <c r="AD132" s="203">
        <f>ROUND((AC132-AB132)/(AC118-AB118),4)</f>
        <v>4.5999999999999999E-3</v>
      </c>
      <c r="AE132" s="217">
        <f>ROUND(AB132-AB118*AD132,2)</f>
        <v>8.2899999999999991</v>
      </c>
      <c r="AF132" s="211">
        <v>17.837575757575799</v>
      </c>
      <c r="AG132" s="212">
        <v>21.021818181818201</v>
      </c>
      <c r="AH132" s="203">
        <f>ROUND((AG132-AF132)/(AG118-AF118),4)</f>
        <v>5.3E-3</v>
      </c>
      <c r="AI132" s="217">
        <f>ROUND(AF132-AF118*AH132,2)</f>
        <v>7.24</v>
      </c>
      <c r="AJ132" s="211">
        <v>22.3430303030303</v>
      </c>
      <c r="AK132" s="212">
        <v>26.5</v>
      </c>
      <c r="AL132" s="203">
        <f>ROUND((AK132-AJ132)/(AK118-AJ118),4)</f>
        <v>6.8999999999999999E-3</v>
      </c>
      <c r="AM132" s="217">
        <f>ROUND(AJ132-AJ118*AL132,2)</f>
        <v>8.5399999999999991</v>
      </c>
      <c r="AN132" s="211">
        <v>23.155757575757601</v>
      </c>
      <c r="AO132" s="212">
        <v>27.259393939393998</v>
      </c>
      <c r="AP132" s="203">
        <f>ROUND((AO132-AN132)/(AO118-AN118),4)</f>
        <v>6.7999999999999996E-3</v>
      </c>
      <c r="AQ132" s="217">
        <f>ROUND(AN132-AN118*AP132,2)</f>
        <v>9.56</v>
      </c>
      <c r="AR132" s="211">
        <v>25.247272727272701</v>
      </c>
      <c r="AS132" s="212">
        <v>29.776363636363602</v>
      </c>
      <c r="AT132" s="203">
        <f>ROUND((AS132-AR132)/(AS118-AR118),4)</f>
        <v>7.4999999999999997E-3</v>
      </c>
      <c r="AU132" s="217">
        <f>ROUND(AR132-AR118*AT132,2)</f>
        <v>10.25</v>
      </c>
    </row>
    <row r="133" spans="1:47" ht="15" thickBot="1">
      <c r="O133" s="216">
        <v>30</v>
      </c>
      <c r="P133" s="226">
        <v>10.894545454545399</v>
      </c>
      <c r="Q133" s="227">
        <v>12.6636363636364</v>
      </c>
      <c r="R133" s="228">
        <f>ROUND((Q133-P133)/(Q118-P118),4)</f>
        <v>2.8999999999999998E-3</v>
      </c>
      <c r="S133" s="229">
        <f>ROUND(P133-P118*R133,2)</f>
        <v>5.09</v>
      </c>
      <c r="T133" s="226">
        <v>14.4654545454546</v>
      </c>
      <c r="U133" s="227">
        <v>16.769090909090998</v>
      </c>
      <c r="V133" s="228">
        <f>ROUND((U133-T133)/(U118-T118),4)</f>
        <v>3.8E-3</v>
      </c>
      <c r="W133" s="229">
        <f>ROUND(T133-T118*V133,2)</f>
        <v>6.87</v>
      </c>
      <c r="X133" s="226">
        <v>14.809090909090999</v>
      </c>
      <c r="Y133" s="227">
        <v>17.198181818181801</v>
      </c>
      <c r="Z133" s="228">
        <f>ROUND((Y133-X133)/(Y118-X118),4)</f>
        <v>4.0000000000000001E-3</v>
      </c>
      <c r="AA133" s="229">
        <f>ROUND(X133-X118*Z133,2)</f>
        <v>6.81</v>
      </c>
      <c r="AB133" s="226">
        <v>15.814545454545399</v>
      </c>
      <c r="AC133" s="227">
        <v>18.309090909091001</v>
      </c>
      <c r="AD133" s="228">
        <f>ROUND((AC133-AB133)/(AC118-AB118),4)</f>
        <v>4.1999999999999997E-3</v>
      </c>
      <c r="AE133" s="229">
        <f>ROUND(AB133-AB118*AD133,2)</f>
        <v>7.41</v>
      </c>
      <c r="AF133" s="226">
        <v>15.6618181818182</v>
      </c>
      <c r="AG133" s="227">
        <v>18.423636363636401</v>
      </c>
      <c r="AH133" s="228">
        <f>ROUND((AG133-AF133)/(AG118-AF118),4)</f>
        <v>4.5999999999999999E-3</v>
      </c>
      <c r="AI133" s="229">
        <f>ROUND(AF133-AF118*AH133,2)</f>
        <v>6.46</v>
      </c>
      <c r="AJ133" s="226">
        <v>20.152727272727201</v>
      </c>
      <c r="AK133" s="227">
        <v>23.9</v>
      </c>
      <c r="AL133" s="228">
        <f>ROUND((AK133-AJ133)/(AK118-AJ118),4)</f>
        <v>6.1999999999999998E-3</v>
      </c>
      <c r="AM133" s="229">
        <f>ROUND(AJ133-AJ118*AL133,2)</f>
        <v>7.75</v>
      </c>
      <c r="AN133" s="226">
        <v>20.978181818181799</v>
      </c>
      <c r="AO133" s="227">
        <v>24.645454545454601</v>
      </c>
      <c r="AP133" s="228">
        <f>ROUND((AO133-AN133)/(AO118-AN118),4)</f>
        <v>6.1000000000000004E-3</v>
      </c>
      <c r="AQ133" s="229">
        <f>ROUND(AN133-AN118*AP133,2)</f>
        <v>8.7799999999999994</v>
      </c>
      <c r="AR133" s="226">
        <v>23.034545454545398</v>
      </c>
      <c r="AS133" s="227">
        <v>27.152727272727201</v>
      </c>
      <c r="AT133" s="228">
        <f>ROUND((AS133-AR133)/(AS118-AR118),4)</f>
        <v>6.8999999999999999E-3</v>
      </c>
      <c r="AU133" s="229">
        <f>ROUND(AR133-AR118*AT133,2)</f>
        <v>9.23</v>
      </c>
    </row>
    <row r="134" spans="1:47" ht="15" thickBot="1">
      <c r="O134" s="224"/>
      <c r="P134" s="225"/>
      <c r="Q134" s="225"/>
      <c r="R134" s="225"/>
      <c r="S134" s="225"/>
      <c r="T134" s="225"/>
      <c r="U134" s="225"/>
      <c r="V134" s="225"/>
      <c r="W134" s="225"/>
      <c r="X134" s="225"/>
      <c r="Y134" s="225"/>
      <c r="Z134" s="225"/>
      <c r="AA134" s="225"/>
      <c r="AB134" s="225"/>
      <c r="AC134" s="225"/>
      <c r="AD134" s="225"/>
      <c r="AE134" s="225"/>
      <c r="AF134" s="225"/>
      <c r="AG134" s="225"/>
      <c r="AH134" s="225"/>
      <c r="AI134" s="225"/>
      <c r="AJ134" s="225"/>
      <c r="AK134" s="225"/>
      <c r="AL134" s="225"/>
      <c r="AM134" s="225"/>
      <c r="AN134" s="225"/>
      <c r="AO134" s="225"/>
      <c r="AP134" s="225"/>
      <c r="AQ134" s="225"/>
      <c r="AR134" s="225"/>
      <c r="AS134" s="225"/>
      <c r="AT134" s="225"/>
      <c r="AU134" s="225"/>
    </row>
    <row r="135" spans="1:47" ht="15" thickBot="1">
      <c r="E135" s="163"/>
      <c r="F135" s="596" t="s">
        <v>244</v>
      </c>
      <c r="G135" s="597"/>
      <c r="H135" s="597" t="s">
        <v>245</v>
      </c>
      <c r="I135" s="597"/>
      <c r="J135" s="597" t="s">
        <v>246</v>
      </c>
      <c r="K135" s="597"/>
      <c r="L135" s="597" t="s">
        <v>247</v>
      </c>
      <c r="M135" s="598"/>
      <c r="O135" s="204" t="s">
        <v>258</v>
      </c>
      <c r="P135" s="590" t="s">
        <v>288</v>
      </c>
      <c r="Q135" s="591"/>
      <c r="R135" s="591"/>
      <c r="S135" s="591"/>
      <c r="T135" s="591"/>
      <c r="U135" s="591"/>
      <c r="V135" s="591"/>
      <c r="W135" s="591"/>
      <c r="X135" s="591"/>
      <c r="Y135" s="591"/>
      <c r="Z135" s="591"/>
      <c r="AA135" s="591"/>
      <c r="AB135" s="591"/>
      <c r="AC135" s="591"/>
      <c r="AD135" s="591"/>
      <c r="AE135" s="592"/>
      <c r="AF135" s="590" t="s">
        <v>289</v>
      </c>
      <c r="AG135" s="591"/>
      <c r="AH135" s="591"/>
      <c r="AI135" s="591"/>
      <c r="AJ135" s="591"/>
      <c r="AK135" s="591"/>
      <c r="AL135" s="591"/>
      <c r="AM135" s="591"/>
      <c r="AN135" s="591"/>
      <c r="AO135" s="591"/>
      <c r="AP135" s="591"/>
      <c r="AQ135" s="591"/>
      <c r="AR135" s="591"/>
      <c r="AS135" s="591"/>
      <c r="AT135" s="591"/>
      <c r="AU135" s="592"/>
    </row>
    <row r="136" spans="1:47" ht="15" thickBot="1">
      <c r="E136" s="163"/>
      <c r="F136" s="221" t="s">
        <v>66</v>
      </c>
      <c r="G136" s="222" t="s">
        <v>249</v>
      </c>
      <c r="H136" s="222" t="s">
        <v>66</v>
      </c>
      <c r="I136" s="222" t="s">
        <v>249</v>
      </c>
      <c r="J136" s="222" t="s">
        <v>66</v>
      </c>
      <c r="K136" s="222" t="s">
        <v>249</v>
      </c>
      <c r="L136" s="222" t="s">
        <v>66</v>
      </c>
      <c r="M136" s="223" t="s">
        <v>249</v>
      </c>
      <c r="O136" s="205" t="s">
        <v>251</v>
      </c>
      <c r="P136" s="593" t="s">
        <v>276</v>
      </c>
      <c r="Q136" s="594"/>
      <c r="R136" s="594"/>
      <c r="S136" s="595"/>
      <c r="T136" s="593" t="s">
        <v>277</v>
      </c>
      <c r="U136" s="594"/>
      <c r="V136" s="594"/>
      <c r="W136" s="595"/>
      <c r="X136" s="593" t="s">
        <v>278</v>
      </c>
      <c r="Y136" s="594"/>
      <c r="Z136" s="594"/>
      <c r="AA136" s="595"/>
      <c r="AB136" s="593" t="s">
        <v>279</v>
      </c>
      <c r="AC136" s="594"/>
      <c r="AD136" s="594"/>
      <c r="AE136" s="595"/>
      <c r="AF136" s="593" t="s">
        <v>276</v>
      </c>
      <c r="AG136" s="594"/>
      <c r="AH136" s="594"/>
      <c r="AI136" s="595"/>
      <c r="AJ136" s="593" t="s">
        <v>277</v>
      </c>
      <c r="AK136" s="594"/>
      <c r="AL136" s="594"/>
      <c r="AM136" s="595"/>
      <c r="AN136" s="593" t="s">
        <v>278</v>
      </c>
      <c r="AO136" s="594"/>
      <c r="AP136" s="594"/>
      <c r="AQ136" s="595"/>
      <c r="AR136" s="593" t="s">
        <v>279</v>
      </c>
      <c r="AS136" s="594"/>
      <c r="AT136" s="594"/>
      <c r="AU136" s="595"/>
    </row>
    <row r="137" spans="1:47" ht="15" thickBot="1">
      <c r="A137" t="s">
        <v>248</v>
      </c>
      <c r="B137" s="163" t="e">
        <f>Задача_Расход</f>
        <v>#REF!</v>
      </c>
      <c r="D137" s="133">
        <v>1</v>
      </c>
      <c r="E137" s="133">
        <v>-40</v>
      </c>
      <c r="F137" s="220">
        <f>INDEX($R138:$AU152,$D137,1+VLOOKUP($B138,$B$351:$E$368,4,FALSE))</f>
        <v>1.4500000000000001E-2</v>
      </c>
      <c r="G137" s="220">
        <f>INDEX($R138:$AU152,$D137,2+VLOOKUP($B138,$B$351:$E$368,4,FALSE))</f>
        <v>17.12</v>
      </c>
      <c r="H137" s="220">
        <f>INDEX($R138:$AU152,$D137,5+VLOOKUP($B138,$B$351:$E$368,4,FALSE))</f>
        <v>1.5800000000000002E-2</v>
      </c>
      <c r="I137" s="220">
        <f>INDEX($R138:$AU152,$D137,6+VLOOKUP($B138,$B$351:$E$368,4,FALSE))</f>
        <v>19.22</v>
      </c>
      <c r="J137" s="220">
        <f>INDEX($R138:$AU152,$D137,9+VLOOKUP($B138,$B$351:$E$368,4,FALSE))</f>
        <v>1.6299999999999999E-2</v>
      </c>
      <c r="K137" s="220">
        <f>INDEX($R138:$AU152,$D137,10+VLOOKUP($B138,$B$351:$E$368,4,FALSE))</f>
        <v>18.86</v>
      </c>
      <c r="L137" s="220">
        <f>INDEX($R138:$AU152,$D137,13+VLOOKUP($B138,$B$351:$E$368,4,FALSE))</f>
        <v>1.6500000000000001E-2</v>
      </c>
      <c r="M137" s="220">
        <f>INDEX($R138:$AU152,$D137,14+VLOOKUP($B138,$B$351:$E$368,4,FALSE))</f>
        <v>21.01</v>
      </c>
      <c r="O137" s="206" t="s">
        <v>248</v>
      </c>
      <c r="P137" s="207">
        <v>2000</v>
      </c>
      <c r="Q137" s="208">
        <v>2600</v>
      </c>
      <c r="R137" s="208"/>
      <c r="S137" s="209"/>
      <c r="T137" s="207">
        <v>2000</v>
      </c>
      <c r="U137" s="208">
        <v>2600</v>
      </c>
      <c r="V137" s="208"/>
      <c r="W137" s="209"/>
      <c r="X137" s="207">
        <v>2000</v>
      </c>
      <c r="Y137" s="208">
        <v>2600</v>
      </c>
      <c r="Z137" s="208"/>
      <c r="AA137" s="209"/>
      <c r="AB137" s="207">
        <v>2000</v>
      </c>
      <c r="AC137" s="208">
        <v>2600</v>
      </c>
      <c r="AD137" s="208"/>
      <c r="AE137" s="209"/>
      <c r="AF137" s="207">
        <v>2000</v>
      </c>
      <c r="AG137" s="208">
        <v>2600</v>
      </c>
      <c r="AH137" s="208"/>
      <c r="AI137" s="209"/>
      <c r="AJ137" s="207">
        <v>2000</v>
      </c>
      <c r="AK137" s="208">
        <v>2600</v>
      </c>
      <c r="AL137" s="208"/>
      <c r="AM137" s="209"/>
      <c r="AN137" s="207">
        <v>2000</v>
      </c>
      <c r="AO137" s="208">
        <v>2600</v>
      </c>
      <c r="AP137" s="208"/>
      <c r="AQ137" s="209"/>
      <c r="AR137" s="207">
        <v>2000</v>
      </c>
      <c r="AS137" s="208">
        <v>2600</v>
      </c>
      <c r="AT137" s="208"/>
      <c r="AU137" s="209"/>
    </row>
    <row r="138" spans="1:47">
      <c r="A138" t="s">
        <v>250</v>
      </c>
      <c r="B138" s="163" t="s">
        <v>266</v>
      </c>
      <c r="D138" s="133">
        <v>2</v>
      </c>
      <c r="E138" s="133">
        <v>-35</v>
      </c>
      <c r="F138" s="203">
        <f>INDEX($R138:$AU152,$D138,1+VLOOKUP($B138,$B$351:$E$368,4,FALSE))</f>
        <v>1.38E-2</v>
      </c>
      <c r="G138" s="203">
        <f>INDEX($R138:$AU152,$D138,2+VLOOKUP($B138,$B$351:$E$368,4,FALSE))</f>
        <v>16.350000000000001</v>
      </c>
      <c r="H138" s="203">
        <f>INDEX($R138:$AU152,$D138,5+VLOOKUP($B138,$B$351:$E$368,4,FALSE))</f>
        <v>1.5100000000000001E-2</v>
      </c>
      <c r="I138" s="203">
        <f>INDEX($R138:$AU152,$D138,6+VLOOKUP($B138,$B$351:$E$368,4,FALSE))</f>
        <v>18.43</v>
      </c>
      <c r="J138" s="203">
        <f>INDEX($R138:$AU152,$D138,9+VLOOKUP($B138,$B$351:$E$368,4,FALSE))</f>
        <v>1.5599999999999999E-2</v>
      </c>
      <c r="K138" s="203">
        <f>INDEX($R138:$AU152,$D138,10+VLOOKUP($B138,$B$351:$E$368,4,FALSE))</f>
        <v>18.09</v>
      </c>
      <c r="L138" s="203">
        <f>INDEX($R138:$AU152,$D138,13+VLOOKUP($B138,$B$351:$E$368,4,FALSE))</f>
        <v>1.5800000000000002E-2</v>
      </c>
      <c r="M138" s="203">
        <f>INDEX($R138:$AU152,$D138,14+VLOOKUP($B138,$B$351:$E$368,4,FALSE))</f>
        <v>20.2</v>
      </c>
      <c r="O138" s="210">
        <v>-40</v>
      </c>
      <c r="P138" s="211">
        <v>34.219393939394003</v>
      </c>
      <c r="Q138" s="212">
        <v>39.984848484848499</v>
      </c>
      <c r="R138" s="203">
        <f>ROUND((Q138-P138)/(Q137-P137),4)</f>
        <v>9.5999999999999992E-3</v>
      </c>
      <c r="S138" s="217">
        <f>ROUND(P138-P137*R138,2)</f>
        <v>15.02</v>
      </c>
      <c r="T138" s="211">
        <v>37.807272727272696</v>
      </c>
      <c r="U138" s="212">
        <v>44.285454545454499</v>
      </c>
      <c r="V138" s="203">
        <f>ROUND((U138-T138)/(U137-T137),4)</f>
        <v>1.0800000000000001E-2</v>
      </c>
      <c r="W138" s="217">
        <f>ROUND(T138-T137*V138,2)</f>
        <v>16.21</v>
      </c>
      <c r="X138" s="211">
        <v>38.125454545454502</v>
      </c>
      <c r="Y138" s="212">
        <v>44.510909090909102</v>
      </c>
      <c r="Z138" s="203">
        <f>ROUND((Y138-X138)/(Y137-X137),4)</f>
        <v>1.06E-2</v>
      </c>
      <c r="AA138" s="217">
        <f>ROUND(X138-X137*Z138,2)</f>
        <v>16.93</v>
      </c>
      <c r="AB138" s="211">
        <v>39.326060606060601</v>
      </c>
      <c r="AC138" s="212">
        <v>45.825454545454498</v>
      </c>
      <c r="AD138" s="203">
        <f>ROUND((AC138-AB138)/(AC137-AB137),4)</f>
        <v>1.0800000000000001E-2</v>
      </c>
      <c r="AE138" s="217">
        <f>ROUND(AB138-AB137*AD138,2)</f>
        <v>17.73</v>
      </c>
      <c r="AF138" s="211">
        <v>46.122424242424202</v>
      </c>
      <c r="AG138" s="212">
        <v>54.798181818181803</v>
      </c>
      <c r="AH138" s="203">
        <f>ROUND((AG138-AF138)/(AG137-AF137),4)</f>
        <v>1.4500000000000001E-2</v>
      </c>
      <c r="AI138" s="217">
        <f>ROUND(AF138-AF137*AH138,2)</f>
        <v>17.12</v>
      </c>
      <c r="AJ138" s="211">
        <v>50.8169696969697</v>
      </c>
      <c r="AK138" s="212">
        <v>60.3</v>
      </c>
      <c r="AL138" s="203">
        <f>ROUND((AK138-AJ138)/(AK137-AJ137),4)</f>
        <v>1.5800000000000002E-2</v>
      </c>
      <c r="AM138" s="217">
        <f>ROUND(AJ138-AJ137*AL138,2)</f>
        <v>19.22</v>
      </c>
      <c r="AN138" s="211">
        <v>51.4642424242424</v>
      </c>
      <c r="AO138" s="212">
        <v>61.240606060605998</v>
      </c>
      <c r="AP138" s="203">
        <f>ROUND((AO138-AN138)/(AO137-AN137),4)</f>
        <v>1.6299999999999999E-2</v>
      </c>
      <c r="AQ138" s="217">
        <f>ROUND(AN138-AN137*AP138,2)</f>
        <v>18.86</v>
      </c>
      <c r="AR138" s="211">
        <v>54.012727272727297</v>
      </c>
      <c r="AS138" s="212">
        <v>63.883636363636398</v>
      </c>
      <c r="AT138" s="203">
        <f>ROUND((AS138-AR138)/(AS137-AR137),4)</f>
        <v>1.6500000000000001E-2</v>
      </c>
      <c r="AU138" s="217">
        <f>ROUND(AR138-AR137*AT138,2)</f>
        <v>21.01</v>
      </c>
    </row>
    <row r="139" spans="1:47">
      <c r="A139" t="s">
        <v>251</v>
      </c>
      <c r="B139" s="163" t="e">
        <f>Задача_НагревательТеплоноситель</f>
        <v>#REF!</v>
      </c>
      <c r="D139" s="133">
        <v>3</v>
      </c>
      <c r="E139" s="133">
        <v>-30</v>
      </c>
      <c r="F139" s="203">
        <f>INDEX($R138:$AU152,$D139,1+VLOOKUP($B138,$B$351:$E$368,4,FALSE))</f>
        <v>1.2999999999999999E-2</v>
      </c>
      <c r="G139" s="203">
        <f>INDEX($R138:$AU152,$D139,2+VLOOKUP($B138,$B$351:$E$368,4,FALSE))</f>
        <v>15.8</v>
      </c>
      <c r="H139" s="203">
        <f>INDEX($R138:$AU152,$D139,5+VLOOKUP($B138,$B$351:$E$368,4,FALSE))</f>
        <v>1.4200000000000001E-2</v>
      </c>
      <c r="I139" s="203">
        <f>INDEX($R138:$AU152,$D139,6+VLOOKUP($B138,$B$351:$E$368,4,FALSE))</f>
        <v>18.2</v>
      </c>
      <c r="J139" s="203">
        <f>INDEX($R138:$AU152,$D139,9+VLOOKUP($B138,$B$351:$E$368,4,FALSE))</f>
        <v>1.4800000000000001E-2</v>
      </c>
      <c r="K139" s="203">
        <f>INDEX($R138:$AU152,$D139,10+VLOOKUP($B138,$B$351:$E$368,4,FALSE))</f>
        <v>17.5</v>
      </c>
      <c r="L139" s="203">
        <f>INDEX($R138:$AU152,$D139,13+VLOOKUP($B138,$B$351:$E$368,4,FALSE))</f>
        <v>1.52E-2</v>
      </c>
      <c r="M139" s="203">
        <f>INDEX($R138:$AU152,$D139,14+VLOOKUP($B138,$B$351:$E$368,4,FALSE))</f>
        <v>19.100000000000001</v>
      </c>
      <c r="O139" s="215">
        <v>-35</v>
      </c>
      <c r="P139" s="211">
        <v>32.553333333333299</v>
      </c>
      <c r="Q139" s="212">
        <v>38.033333333333303</v>
      </c>
      <c r="R139" s="203">
        <f>ROUND((Q139-P139)/(Q137-P137),4)</f>
        <v>9.1000000000000004E-3</v>
      </c>
      <c r="S139" s="217">
        <f>ROUND(P139-P137*R139,2)</f>
        <v>14.35</v>
      </c>
      <c r="T139" s="211">
        <v>36.14</v>
      </c>
      <c r="U139" s="212">
        <v>42.32</v>
      </c>
      <c r="V139" s="203">
        <f>ROUND((U139-T139)/(U137-T137),4)</f>
        <v>1.03E-2</v>
      </c>
      <c r="W139" s="217">
        <f>ROUND(T139-T137*V139,2)</f>
        <v>15.54</v>
      </c>
      <c r="X139" s="211">
        <v>36.46</v>
      </c>
      <c r="Y139" s="212">
        <v>42.56</v>
      </c>
      <c r="Z139" s="203">
        <f>ROUND((Y139-X139)/(Y137-X137),4)</f>
        <v>1.0200000000000001E-2</v>
      </c>
      <c r="AA139" s="217">
        <f>ROUND(X139-X137*Z139,2)</f>
        <v>16.059999999999999</v>
      </c>
      <c r="AB139" s="211">
        <v>37.646666666666697</v>
      </c>
      <c r="AC139" s="212">
        <v>43.86</v>
      </c>
      <c r="AD139" s="203">
        <f>ROUND((AC139-AB139)/(AC137-AB137),4)</f>
        <v>1.04E-2</v>
      </c>
      <c r="AE139" s="217">
        <f>ROUND(AB139-AB137*AD139,2)</f>
        <v>16.850000000000001</v>
      </c>
      <c r="AF139" s="211">
        <v>43.946666666666701</v>
      </c>
      <c r="AG139" s="212">
        <v>52.2</v>
      </c>
      <c r="AH139" s="203">
        <f>ROUND((AG139-AF139)/(AG137-AF137),4)</f>
        <v>1.38E-2</v>
      </c>
      <c r="AI139" s="217">
        <f>ROUND(AF139-AF137*AH139,2)</f>
        <v>16.350000000000001</v>
      </c>
      <c r="AJ139" s="211">
        <v>48.626666666666701</v>
      </c>
      <c r="AK139" s="212">
        <v>57.7</v>
      </c>
      <c r="AL139" s="203">
        <f>ROUND((AK139-AJ139)/(AK137-AJ137),4)</f>
        <v>1.5100000000000001E-2</v>
      </c>
      <c r="AM139" s="217">
        <f>ROUND(AJ139-AJ137*AL139,2)</f>
        <v>18.43</v>
      </c>
      <c r="AN139" s="211">
        <v>49.286666666666697</v>
      </c>
      <c r="AO139" s="212">
        <v>58.626666666666701</v>
      </c>
      <c r="AP139" s="203">
        <f>ROUND((AO139-AN139)/(AO137-AN137),4)</f>
        <v>1.5599999999999999E-2</v>
      </c>
      <c r="AQ139" s="217">
        <f>ROUND(AN139-AN137*AP139,2)</f>
        <v>18.09</v>
      </c>
      <c r="AR139" s="211">
        <v>51.8</v>
      </c>
      <c r="AS139" s="212">
        <v>61.26</v>
      </c>
      <c r="AT139" s="203">
        <f>ROUND((AS139-AR139)/(AS137-AR137),4)</f>
        <v>1.5800000000000002E-2</v>
      </c>
      <c r="AU139" s="217">
        <f>ROUND(AR139-AR137*AT139,2)</f>
        <v>20.2</v>
      </c>
    </row>
    <row r="140" spans="1:47">
      <c r="A140" t="s">
        <v>253</v>
      </c>
      <c r="B140" s="163" t="e">
        <f>VLOOKUP("600x300",ПП_Расчет!C$10:F$19,4,0)</f>
        <v>#REF!</v>
      </c>
      <c r="D140" s="133">
        <v>4</v>
      </c>
      <c r="E140" s="133">
        <v>-25</v>
      </c>
      <c r="F140" s="203">
        <f>INDEX($R138:$AU152,$D140,1+VLOOKUP($B138,$B$351:$E$368,4,FALSE))</f>
        <v>1.23E-2</v>
      </c>
      <c r="G140" s="203">
        <f>INDEX($R138:$AU152,$D140,2+VLOOKUP($B138,$B$351:$E$368,4,FALSE))</f>
        <v>15</v>
      </c>
      <c r="H140" s="203">
        <f>INDEX($R138:$AU152,$D140,5+VLOOKUP($B138,$B$351:$E$368,4,FALSE))</f>
        <v>1.38E-2</v>
      </c>
      <c r="I140" s="203">
        <f>INDEX($R138:$AU152,$D140,6+VLOOKUP($B138,$B$351:$E$368,4,FALSE))</f>
        <v>16.600000000000001</v>
      </c>
      <c r="J140" s="203">
        <f>INDEX($R138:$AU152,$D140,9+VLOOKUP($B138,$B$351:$E$368,4,FALSE))</f>
        <v>1.4200000000000001E-2</v>
      </c>
      <c r="K140" s="203">
        <f>INDEX($R138:$AU152,$D140,10+VLOOKUP($B138,$B$351:$E$368,4,FALSE))</f>
        <v>16.5</v>
      </c>
      <c r="L140" s="203">
        <f>INDEX($R138:$AU152,$D140,13+VLOOKUP($B138,$B$351:$E$368,4,FALSE))</f>
        <v>1.4E-2</v>
      </c>
      <c r="M140" s="203">
        <f>INDEX($R138:$AU152,$D140,14+VLOOKUP($B138,$B$351:$E$368,4,FALSE))</f>
        <v>19.600000000000001</v>
      </c>
      <c r="O140" s="215">
        <v>-30</v>
      </c>
      <c r="P140" s="211">
        <v>30.9</v>
      </c>
      <c r="Q140" s="212">
        <v>36.1</v>
      </c>
      <c r="R140" s="203">
        <f>ROUND((Q140-P140)/(Q137-P137),4)</f>
        <v>8.6999999999999994E-3</v>
      </c>
      <c r="S140" s="217">
        <f>ROUND(P140-P137*R140,2)</f>
        <v>13.5</v>
      </c>
      <c r="T140" s="211">
        <v>34.5</v>
      </c>
      <c r="U140" s="212">
        <v>40.4</v>
      </c>
      <c r="V140" s="203">
        <f>ROUND((U140-T140)/(U137-T137),4)</f>
        <v>9.7999999999999997E-3</v>
      </c>
      <c r="W140" s="217">
        <f>ROUND(T140-T137*V140,2)</f>
        <v>14.9</v>
      </c>
      <c r="X140" s="211">
        <v>34.799999999999997</v>
      </c>
      <c r="Y140" s="212">
        <v>40.700000000000003</v>
      </c>
      <c r="Z140" s="203">
        <f>ROUND((Y140-X140)/(Y137-X137),4)</f>
        <v>9.7999999999999997E-3</v>
      </c>
      <c r="AA140" s="217">
        <f>ROUND(X140-X137*Z140,2)</f>
        <v>15.2</v>
      </c>
      <c r="AB140" s="211">
        <v>36</v>
      </c>
      <c r="AC140" s="212">
        <v>41.9</v>
      </c>
      <c r="AD140" s="203">
        <f>ROUND((AC140-AB140)/(AC137-AB137),4)</f>
        <v>9.7999999999999997E-3</v>
      </c>
      <c r="AE140" s="217">
        <f>ROUND(AB140-AB137*AD140,2)</f>
        <v>16.399999999999999</v>
      </c>
      <c r="AF140" s="211">
        <v>41.8</v>
      </c>
      <c r="AG140" s="212">
        <v>49.6</v>
      </c>
      <c r="AH140" s="203">
        <f>ROUND((AG140-AF140)/(AG137-AF137),4)</f>
        <v>1.2999999999999999E-2</v>
      </c>
      <c r="AI140" s="217">
        <f>ROUND(AF140-AF137*AH140,2)</f>
        <v>15.8</v>
      </c>
      <c r="AJ140" s="211">
        <v>46.6</v>
      </c>
      <c r="AK140" s="212">
        <v>55.1</v>
      </c>
      <c r="AL140" s="203">
        <f>ROUND((AK140-AJ140)/(AK137-AJ137),4)</f>
        <v>1.4200000000000001E-2</v>
      </c>
      <c r="AM140" s="217">
        <f>ROUND(AJ140-AJ137*AL140,2)</f>
        <v>18.2</v>
      </c>
      <c r="AN140" s="211">
        <v>47.1</v>
      </c>
      <c r="AO140" s="212">
        <v>56</v>
      </c>
      <c r="AP140" s="203">
        <f>ROUND((AO140-AN140)/(AO137-AN137),4)</f>
        <v>1.4800000000000001E-2</v>
      </c>
      <c r="AQ140" s="217">
        <f>ROUND(AN140-AN137*AP140,2)</f>
        <v>17.5</v>
      </c>
      <c r="AR140" s="211">
        <v>49.5</v>
      </c>
      <c r="AS140" s="212">
        <v>58.6</v>
      </c>
      <c r="AT140" s="203">
        <f>ROUND((AS140-AR140)/(AS137-AR137),4)</f>
        <v>1.52E-2</v>
      </c>
      <c r="AU140" s="217">
        <f>ROUND(AR140-AR137*AT140,2)</f>
        <v>19.100000000000001</v>
      </c>
    </row>
    <row r="141" spans="1:47">
      <c r="D141" s="133">
        <v>5</v>
      </c>
      <c r="E141" s="133">
        <v>-20</v>
      </c>
      <c r="F141" s="203">
        <f>INDEX($R138:$AU152,$D141,1+VLOOKUP($B138,$B$351:$E$368,4,FALSE))</f>
        <v>1.17E-2</v>
      </c>
      <c r="G141" s="203">
        <f>INDEX($R138:$AU152,$D141,2+VLOOKUP($B138,$B$351:$E$368,4,FALSE))</f>
        <v>14</v>
      </c>
      <c r="H141" s="203">
        <f>INDEX($R138:$AU152,$D141,5+VLOOKUP($B138,$B$351:$E$368,4,FALSE))</f>
        <v>1.32E-2</v>
      </c>
      <c r="I141" s="203">
        <f>INDEX($R138:$AU152,$D141,6+VLOOKUP($B138,$B$351:$E$368,4,FALSE))</f>
        <v>15.6</v>
      </c>
      <c r="J141" s="203">
        <f>INDEX($R138:$AU152,$D141,9+VLOOKUP($B138,$B$351:$E$368,4,FALSE))</f>
        <v>1.3299999999999999E-2</v>
      </c>
      <c r="K141" s="203">
        <f>INDEX($R138:$AU152,$D141,10+VLOOKUP($B138,$B$351:$E$368,4,FALSE))</f>
        <v>16.2</v>
      </c>
      <c r="L141" s="203">
        <f>INDEX($R138:$AU152,$D141,13+VLOOKUP($B138,$B$351:$E$368,4,FALSE))</f>
        <v>1.38E-2</v>
      </c>
      <c r="M141" s="203">
        <f>INDEX($R138:$AU152,$D141,14+VLOOKUP($B138,$B$351:$E$368,4,FALSE))</f>
        <v>17.5</v>
      </c>
      <c r="O141" s="215">
        <v>-25</v>
      </c>
      <c r="P141" s="211">
        <v>29.2</v>
      </c>
      <c r="Q141" s="212">
        <v>34.1</v>
      </c>
      <c r="R141" s="203">
        <f>ROUND((Q141-P141)/(Q137-P137),4)</f>
        <v>8.2000000000000007E-3</v>
      </c>
      <c r="S141" s="217">
        <f>ROUND(P141-P137*R141,2)</f>
        <v>12.8</v>
      </c>
      <c r="T141" s="211">
        <v>32.799999999999997</v>
      </c>
      <c r="U141" s="212">
        <v>38.4</v>
      </c>
      <c r="V141" s="203">
        <f>ROUND((U141-T141)/(U137-T137),4)</f>
        <v>9.2999999999999992E-3</v>
      </c>
      <c r="W141" s="217">
        <f>ROUND(T141-T137*V141,2)</f>
        <v>14.2</v>
      </c>
      <c r="X141" s="211">
        <v>33.1</v>
      </c>
      <c r="Y141" s="212">
        <v>38.700000000000003</v>
      </c>
      <c r="Z141" s="203">
        <f>ROUND((Y141-X141)/(Y137-X137),4)</f>
        <v>9.2999999999999992E-3</v>
      </c>
      <c r="AA141" s="217">
        <f>ROUND(X141-X137*Z141,2)</f>
        <v>14.5</v>
      </c>
      <c r="AB141" s="211">
        <v>34.299999999999997</v>
      </c>
      <c r="AC141" s="212">
        <v>39.9</v>
      </c>
      <c r="AD141" s="203">
        <f>ROUND((AC141-AB141)/(AC137-AB137),4)</f>
        <v>9.2999999999999992E-3</v>
      </c>
      <c r="AE141" s="217">
        <f>ROUND(AB141-AB137*AD141,2)</f>
        <v>15.7</v>
      </c>
      <c r="AF141" s="211">
        <v>39.6</v>
      </c>
      <c r="AG141" s="212">
        <v>47</v>
      </c>
      <c r="AH141" s="203">
        <f>ROUND((AG141-AF141)/(AG137-AF137),4)</f>
        <v>1.23E-2</v>
      </c>
      <c r="AI141" s="217">
        <f>ROUND(AF141-AF137*AH141,2)</f>
        <v>15</v>
      </c>
      <c r="AJ141" s="211">
        <v>44.2</v>
      </c>
      <c r="AK141" s="212">
        <v>52.5</v>
      </c>
      <c r="AL141" s="203">
        <f>ROUND((AK141-AJ141)/(AK137-AJ137),4)</f>
        <v>1.38E-2</v>
      </c>
      <c r="AM141" s="217">
        <f>ROUND(AJ141-AJ137*AL141,2)</f>
        <v>16.600000000000001</v>
      </c>
      <c r="AN141" s="211">
        <v>44.9</v>
      </c>
      <c r="AO141" s="212">
        <v>53.4</v>
      </c>
      <c r="AP141" s="203">
        <f>ROUND((AO141-AN141)/(AO137-AN137),4)</f>
        <v>1.4200000000000001E-2</v>
      </c>
      <c r="AQ141" s="217">
        <f>ROUND(AN141-AN137*AP141,2)</f>
        <v>16.5</v>
      </c>
      <c r="AR141" s="211">
        <v>47.6</v>
      </c>
      <c r="AS141" s="212">
        <v>56</v>
      </c>
      <c r="AT141" s="203">
        <f>ROUND((AS141-AR141)/(AS137-AR137),4)</f>
        <v>1.4E-2</v>
      </c>
      <c r="AU141" s="217">
        <f>ROUND(AR141-AR137*AT141,2)</f>
        <v>19.600000000000001</v>
      </c>
    </row>
    <row r="142" spans="1:47">
      <c r="A142" t="s">
        <v>66</v>
      </c>
      <c r="B142" s="163" t="e">
        <f>VLOOKUP(B140,E137:M151,VLOOKUP(B139,B$345:D$348,2,FALSE))</f>
        <v>#REF!</v>
      </c>
      <c r="D142" s="133">
        <v>6</v>
      </c>
      <c r="E142" s="133">
        <v>-15</v>
      </c>
      <c r="F142" s="203">
        <f>INDEX($R138:$AU152,$D142,1+VLOOKUP($B138,$B$351:$E$368,4,FALSE))</f>
        <v>1.0999999999999999E-2</v>
      </c>
      <c r="G142" s="203">
        <f>INDEX($R138:$AU152,$D142,2+VLOOKUP($B138,$B$351:$E$368,4,FALSE))</f>
        <v>13.2</v>
      </c>
      <c r="H142" s="203">
        <f>INDEX($R138:$AU152,$D142,5+VLOOKUP($B138,$B$351:$E$368,4,FALSE))</f>
        <v>1.2500000000000001E-2</v>
      </c>
      <c r="I142" s="203">
        <f>INDEX($R138:$AU152,$D142,6+VLOOKUP($B138,$B$351:$E$368,4,FALSE))</f>
        <v>14.8</v>
      </c>
      <c r="J142" s="203">
        <f>INDEX($R138:$AU152,$D142,9+VLOOKUP($B138,$B$351:$E$368,4,FALSE))</f>
        <v>1.2699999999999999E-2</v>
      </c>
      <c r="K142" s="203">
        <f>INDEX($R138:$AU152,$D142,10+VLOOKUP($B138,$B$351:$E$368,4,FALSE))</f>
        <v>15.2</v>
      </c>
      <c r="L142" s="203">
        <f>INDEX($R138:$AU152,$D142,13+VLOOKUP($B138,$B$351:$E$368,4,FALSE))</f>
        <v>1.32E-2</v>
      </c>
      <c r="M142" s="203">
        <f>INDEX($R138:$AU152,$D142,14+VLOOKUP($B138,$B$351:$E$368,4,FALSE))</f>
        <v>16.5</v>
      </c>
      <c r="O142" s="215">
        <v>-20</v>
      </c>
      <c r="P142" s="211">
        <v>27.6</v>
      </c>
      <c r="Q142" s="212">
        <v>32.200000000000003</v>
      </c>
      <c r="R142" s="203">
        <f>ROUND((Q142-P142)/(Q137-P137),4)</f>
        <v>7.7000000000000002E-3</v>
      </c>
      <c r="S142" s="217">
        <f>ROUND(P142-P137*R142,2)</f>
        <v>12.2</v>
      </c>
      <c r="T142" s="211">
        <v>31.1</v>
      </c>
      <c r="U142" s="212">
        <v>36.4</v>
      </c>
      <c r="V142" s="203">
        <f>ROUND((U142-T142)/(U137-T137),4)</f>
        <v>8.8000000000000005E-3</v>
      </c>
      <c r="W142" s="217">
        <f>ROUND(T142-T137*V142,2)</f>
        <v>13.5</v>
      </c>
      <c r="X142" s="211">
        <v>31.5</v>
      </c>
      <c r="Y142" s="212">
        <v>36.4</v>
      </c>
      <c r="Z142" s="203">
        <f>ROUND((Y142-X142)/(Y137-X137),4)</f>
        <v>8.2000000000000007E-3</v>
      </c>
      <c r="AA142" s="217">
        <f>ROUND(X142-X137*Z142,2)</f>
        <v>15.1</v>
      </c>
      <c r="AB142" s="211">
        <v>32.6</v>
      </c>
      <c r="AC142" s="212">
        <v>38</v>
      </c>
      <c r="AD142" s="203">
        <f>ROUND((AC142-AB142)/(AC137-AB137),4)</f>
        <v>8.9999999999999993E-3</v>
      </c>
      <c r="AE142" s="217">
        <f>ROUND(AB142-AB137*AD142,2)</f>
        <v>14.6</v>
      </c>
      <c r="AF142" s="211">
        <v>37.4</v>
      </c>
      <c r="AG142" s="212">
        <v>44.4</v>
      </c>
      <c r="AH142" s="203">
        <f>ROUND((AG142-AF142)/(AG137-AF137),4)</f>
        <v>1.17E-2</v>
      </c>
      <c r="AI142" s="217">
        <f>ROUND(AF142-AF137*AH142,2)</f>
        <v>14</v>
      </c>
      <c r="AJ142" s="211">
        <v>42</v>
      </c>
      <c r="AK142" s="212">
        <v>49.9</v>
      </c>
      <c r="AL142" s="203">
        <f>ROUND((AK142-AJ142)/(AK137-AJ137),4)</f>
        <v>1.32E-2</v>
      </c>
      <c r="AM142" s="217">
        <f>ROUND(AJ142-AJ137*AL142,2)</f>
        <v>15.6</v>
      </c>
      <c r="AN142" s="211">
        <v>42.8</v>
      </c>
      <c r="AO142" s="212">
        <v>50.8</v>
      </c>
      <c r="AP142" s="203">
        <f>ROUND((AO142-AN142)/(AO137-AN137),4)</f>
        <v>1.3299999999999999E-2</v>
      </c>
      <c r="AQ142" s="217">
        <f>ROUND(AN142-AN137*AP142,2)</f>
        <v>16.2</v>
      </c>
      <c r="AR142" s="211">
        <v>45.1</v>
      </c>
      <c r="AS142" s="212">
        <v>53.4</v>
      </c>
      <c r="AT142" s="203">
        <f>ROUND((AS142-AR142)/(AS137-AR137),4)</f>
        <v>1.38E-2</v>
      </c>
      <c r="AU142" s="217">
        <f>ROUND(AR142-AR137*AT142,2)</f>
        <v>17.5</v>
      </c>
    </row>
    <row r="143" spans="1:47">
      <c r="A143" t="s">
        <v>249</v>
      </c>
      <c r="B143" s="163" t="e">
        <f>VLOOKUP(B140,E137:M151,VLOOKUP(B139,B$345:D$348,3,FALSE))</f>
        <v>#REF!</v>
      </c>
      <c r="D143" s="133">
        <v>7</v>
      </c>
      <c r="E143" s="133">
        <v>-10</v>
      </c>
      <c r="F143" s="203">
        <f>INDEX($R138:$AU152,$D143,1+VLOOKUP($B138,$B$351:$E$368,4,FALSE))</f>
        <v>1.0200000000000001E-2</v>
      </c>
      <c r="G143" s="203">
        <f>INDEX($R138:$AU152,$D143,2+VLOOKUP($B138,$B$351:$E$368,4,FALSE))</f>
        <v>12.7</v>
      </c>
      <c r="H143" s="203">
        <f>INDEX($R138:$AU152,$D143,5+VLOOKUP($B138,$B$351:$E$368,4,FALSE))</f>
        <v>1.18E-2</v>
      </c>
      <c r="I143" s="203">
        <f>INDEX($R138:$AU152,$D143,6+VLOOKUP($B138,$B$351:$E$368,4,FALSE))</f>
        <v>14</v>
      </c>
      <c r="J143" s="203">
        <f>INDEX($R138:$AU152,$D143,9+VLOOKUP($B138,$B$351:$E$368,4,FALSE))</f>
        <v>1.18E-2</v>
      </c>
      <c r="K143" s="203">
        <f>INDEX($R138:$AU152,$D143,10+VLOOKUP($B138,$B$351:$E$368,4,FALSE))</f>
        <v>14.8</v>
      </c>
      <c r="L143" s="203">
        <f>INDEX($R138:$AU152,$D143,13+VLOOKUP($B138,$B$351:$E$368,4,FALSE))</f>
        <v>1.23E-2</v>
      </c>
      <c r="M143" s="203">
        <f>INDEX($R138:$AU152,$D143,14+VLOOKUP($B138,$B$351:$E$368,4,FALSE))</f>
        <v>16.100000000000001</v>
      </c>
      <c r="O143" s="215">
        <v>-15</v>
      </c>
      <c r="P143" s="211">
        <v>25.9</v>
      </c>
      <c r="Q143" s="212">
        <v>30.2</v>
      </c>
      <c r="R143" s="203">
        <f>ROUND((Q143-P143)/(Q137-P137),4)</f>
        <v>7.1999999999999998E-3</v>
      </c>
      <c r="S143" s="217">
        <f>ROUND(P143-P137*R143,2)</f>
        <v>11.5</v>
      </c>
      <c r="T143" s="211">
        <v>29.5</v>
      </c>
      <c r="U143" s="212">
        <v>34.4</v>
      </c>
      <c r="V143" s="203">
        <f>ROUND((U143-T143)/(U137-T137),4)</f>
        <v>8.2000000000000007E-3</v>
      </c>
      <c r="W143" s="217">
        <f>ROUND(T143-T137*V143,2)</f>
        <v>13.1</v>
      </c>
      <c r="X143" s="211">
        <v>29.8</v>
      </c>
      <c r="Y143" s="212">
        <v>34.799999999999997</v>
      </c>
      <c r="Z143" s="203">
        <f>ROUND((Y143-X143)/(Y137-X137),4)</f>
        <v>8.3000000000000001E-3</v>
      </c>
      <c r="AA143" s="217">
        <f>ROUND(X143-X137*Z143,2)</f>
        <v>13.2</v>
      </c>
      <c r="AB143" s="211">
        <v>30.9</v>
      </c>
      <c r="AC143" s="212">
        <v>36</v>
      </c>
      <c r="AD143" s="203">
        <f>ROUND((AC143-AB143)/(AC137-AB137),4)</f>
        <v>8.5000000000000006E-3</v>
      </c>
      <c r="AE143" s="217">
        <f>ROUND(AB143-AB137*AD143,2)</f>
        <v>13.9</v>
      </c>
      <c r="AF143" s="211">
        <v>35.200000000000003</v>
      </c>
      <c r="AG143" s="212">
        <v>41.8</v>
      </c>
      <c r="AH143" s="203">
        <f>ROUND((AG143-AF143)/(AG137-AF137),4)</f>
        <v>1.0999999999999999E-2</v>
      </c>
      <c r="AI143" s="217">
        <f>ROUND(AF143-AF137*AH143,2)</f>
        <v>13.2</v>
      </c>
      <c r="AJ143" s="211">
        <v>39.799999999999997</v>
      </c>
      <c r="AK143" s="212">
        <v>47.3</v>
      </c>
      <c r="AL143" s="203">
        <f>ROUND((AK143-AJ143)/(AK137-AJ137),4)</f>
        <v>1.2500000000000001E-2</v>
      </c>
      <c r="AM143" s="217">
        <f>ROUND(AJ143-AJ137*AL143,2)</f>
        <v>14.8</v>
      </c>
      <c r="AN143" s="211">
        <v>40.6</v>
      </c>
      <c r="AO143" s="212">
        <v>48.2</v>
      </c>
      <c r="AP143" s="203">
        <f>ROUND((AO143-AN143)/(AO137-AN137),4)</f>
        <v>1.2699999999999999E-2</v>
      </c>
      <c r="AQ143" s="217">
        <f>ROUND(AN143-AN137*AP143,2)</f>
        <v>15.2</v>
      </c>
      <c r="AR143" s="211">
        <v>42.9</v>
      </c>
      <c r="AS143" s="212">
        <v>50.8</v>
      </c>
      <c r="AT143" s="203">
        <f>ROUND((AS143-AR143)/(AS137-AR137),4)</f>
        <v>1.32E-2</v>
      </c>
      <c r="AU143" s="217">
        <f>ROUND(AR143-AR137*AT143,2)</f>
        <v>16.5</v>
      </c>
    </row>
    <row r="144" spans="1:47">
      <c r="D144" s="133">
        <v>8</v>
      </c>
      <c r="E144" s="133">
        <v>-5</v>
      </c>
      <c r="F144" s="203">
        <f>INDEX($R138:$AU152,$D144,1+VLOOKUP($B138,$B$351:$E$368,4,FALSE))</f>
        <v>9.4999999999999998E-3</v>
      </c>
      <c r="G144" s="203">
        <f>INDEX($R138:$AU152,$D144,2+VLOOKUP($B138,$B$351:$E$368,4,FALSE))</f>
        <v>11.9</v>
      </c>
      <c r="H144" s="203">
        <f>INDEX($R138:$AU152,$D144,5+VLOOKUP($B138,$B$351:$E$368,4,FALSE))</f>
        <v>1.0999999999999999E-2</v>
      </c>
      <c r="I144" s="203">
        <f>INDEX($R138:$AU152,$D144,6+VLOOKUP($B138,$B$351:$E$368,4,FALSE))</f>
        <v>13.5</v>
      </c>
      <c r="J144" s="203">
        <f>INDEX($R138:$AU152,$D144,9+VLOOKUP($B138,$B$351:$E$368,4,FALSE))</f>
        <v>1.1299999999999999E-2</v>
      </c>
      <c r="K144" s="203">
        <f>INDEX($R138:$AU152,$D144,10+VLOOKUP($B138,$B$351:$E$368,4,FALSE))</f>
        <v>13.6</v>
      </c>
      <c r="L144" s="203">
        <f>INDEX($R138:$AU152,$D144,13+VLOOKUP($B138,$B$351:$E$368,4,FALSE))</f>
        <v>1.18E-2</v>
      </c>
      <c r="M144" s="203">
        <f>INDEX($R138:$AU152,$D144,14+VLOOKUP($B138,$B$351:$E$368,4,FALSE))</f>
        <v>14.9</v>
      </c>
      <c r="O144" s="215">
        <v>-10</v>
      </c>
      <c r="P144" s="211">
        <v>24.2</v>
      </c>
      <c r="Q144" s="212">
        <v>28.3</v>
      </c>
      <c r="R144" s="203">
        <f>ROUND((Q144-P144)/(Q137-P137),4)</f>
        <v>6.7999999999999996E-3</v>
      </c>
      <c r="S144" s="217">
        <f>ROUND(P144-P137*R144,2)</f>
        <v>10.6</v>
      </c>
      <c r="T144" s="211">
        <v>27.8</v>
      </c>
      <c r="U144" s="212">
        <v>32.5</v>
      </c>
      <c r="V144" s="203">
        <f>ROUND((U144-T144)/(U137-T137),4)</f>
        <v>7.7999999999999996E-3</v>
      </c>
      <c r="W144" s="217">
        <f>ROUND(T144-T137*V144,2)</f>
        <v>12.2</v>
      </c>
      <c r="X144" s="211">
        <v>28.1</v>
      </c>
      <c r="Y144" s="212">
        <v>32.9</v>
      </c>
      <c r="Z144" s="203">
        <f>ROUND((Y144-X144)/(Y137-X137),4)</f>
        <v>8.0000000000000002E-3</v>
      </c>
      <c r="AA144" s="217">
        <f>ROUND(X144-X137*Z144,2)</f>
        <v>12.1</v>
      </c>
      <c r="AB144" s="211">
        <v>29.2</v>
      </c>
      <c r="AC144" s="212">
        <v>34</v>
      </c>
      <c r="AD144" s="203">
        <f>ROUND((AC144-AB144)/(AC137-AB137),4)</f>
        <v>8.0000000000000002E-3</v>
      </c>
      <c r="AE144" s="217">
        <f>ROUND(AB144-AB137*AD144,2)</f>
        <v>13.2</v>
      </c>
      <c r="AF144" s="211">
        <v>33.1</v>
      </c>
      <c r="AG144" s="212">
        <v>39.200000000000003</v>
      </c>
      <c r="AH144" s="203">
        <f>ROUND((AG144-AF144)/(AG137-AF137),4)</f>
        <v>1.0200000000000001E-2</v>
      </c>
      <c r="AI144" s="217">
        <f>ROUND(AF144-AF137*AH144,2)</f>
        <v>12.7</v>
      </c>
      <c r="AJ144" s="211">
        <v>37.6</v>
      </c>
      <c r="AK144" s="212">
        <v>44.7</v>
      </c>
      <c r="AL144" s="203">
        <f>ROUND((AK144-AJ144)/(AK137-AJ137),4)</f>
        <v>1.18E-2</v>
      </c>
      <c r="AM144" s="217">
        <f>ROUND(AJ144-AJ137*AL144,2)</f>
        <v>14</v>
      </c>
      <c r="AN144" s="211">
        <v>38.4</v>
      </c>
      <c r="AO144" s="212">
        <v>45.5</v>
      </c>
      <c r="AP144" s="203">
        <f>ROUND((AO144-AN144)/(AO137-AN137),4)</f>
        <v>1.18E-2</v>
      </c>
      <c r="AQ144" s="217">
        <f>ROUND(AN144-AN137*AP144,2)</f>
        <v>14.8</v>
      </c>
      <c r="AR144" s="211">
        <v>40.700000000000003</v>
      </c>
      <c r="AS144" s="212">
        <v>48.1</v>
      </c>
      <c r="AT144" s="203">
        <f>ROUND((AS144-AR144)/(AS137-AR137),4)</f>
        <v>1.23E-2</v>
      </c>
      <c r="AU144" s="217">
        <f>ROUND(AR144-AR137*AT144,2)</f>
        <v>16.100000000000001</v>
      </c>
    </row>
    <row r="145" spans="1:48">
      <c r="A145" t="s">
        <v>254</v>
      </c>
      <c r="B145" s="163" t="e">
        <f>B137*B142+B143</f>
        <v>#REF!</v>
      </c>
      <c r="D145" s="133">
        <v>9</v>
      </c>
      <c r="E145" s="133">
        <v>0</v>
      </c>
      <c r="F145" s="203">
        <f>INDEX($R138:$AU152,$D145,1+VLOOKUP($B138,$B$351:$E$368,4,FALSE))</f>
        <v>8.9999999999999993E-3</v>
      </c>
      <c r="G145" s="203">
        <f>INDEX($R138:$AU152,$D145,2+VLOOKUP($B138,$B$351:$E$368,4,FALSE))</f>
        <v>10.7</v>
      </c>
      <c r="H145" s="203">
        <f>INDEX($R138:$AU152,$D145,5+VLOOKUP($B138,$B$351:$E$368,4,FALSE))</f>
        <v>1.03E-2</v>
      </c>
      <c r="I145" s="203">
        <f>INDEX($R138:$AU152,$D145,6+VLOOKUP($B138,$B$351:$E$368,4,FALSE))</f>
        <v>12.7</v>
      </c>
      <c r="J145" s="203">
        <f>INDEX($R138:$AU152,$D145,9+VLOOKUP($B138,$B$351:$E$368,4,FALSE))</f>
        <v>1.0500000000000001E-2</v>
      </c>
      <c r="K145" s="203">
        <f>INDEX($R138:$AU152,$D145,10+VLOOKUP($B138,$B$351:$E$368,4,FALSE))</f>
        <v>13</v>
      </c>
      <c r="L145" s="203">
        <f>INDEX($R138:$AU152,$D145,13+VLOOKUP($B138,$B$351:$E$368,4,FALSE))</f>
        <v>1.0999999999999999E-2</v>
      </c>
      <c r="M145" s="203">
        <f>INDEX($R138:$AU152,$D145,14+VLOOKUP($B138,$B$351:$E$368,4,FALSE))</f>
        <v>14.3</v>
      </c>
      <c r="O145" s="215">
        <v>-5</v>
      </c>
      <c r="P145" s="211">
        <v>22.5</v>
      </c>
      <c r="Q145" s="212">
        <v>26.3</v>
      </c>
      <c r="R145" s="203">
        <f>ROUND((Q145-P145)/(Q137-P137),4)</f>
        <v>6.3E-3</v>
      </c>
      <c r="S145" s="217">
        <f>ROUND(P145-P137*R145,2)</f>
        <v>9.9</v>
      </c>
      <c r="T145" s="211">
        <v>26.1</v>
      </c>
      <c r="U145" s="212">
        <v>30.5</v>
      </c>
      <c r="V145" s="203">
        <f>ROUND((U145-T145)/(U137-T137),4)</f>
        <v>7.3000000000000001E-3</v>
      </c>
      <c r="W145" s="217">
        <f>ROUND(T145-T137*V145,2)</f>
        <v>11.5</v>
      </c>
      <c r="X145" s="211">
        <v>26.5</v>
      </c>
      <c r="Y145" s="212">
        <v>30.9</v>
      </c>
      <c r="Z145" s="203">
        <f>ROUND((Y145-X145)/(Y137-X137),4)</f>
        <v>7.3000000000000001E-3</v>
      </c>
      <c r="AA145" s="217">
        <f>ROUND(X145-X137*Z145,2)</f>
        <v>11.9</v>
      </c>
      <c r="AB145" s="211">
        <v>27.6</v>
      </c>
      <c r="AC145" s="212">
        <v>32.1</v>
      </c>
      <c r="AD145" s="203">
        <f>ROUND((AC145-AB145)/(AC137-AB137),4)</f>
        <v>7.4999999999999997E-3</v>
      </c>
      <c r="AE145" s="217">
        <f>ROUND(AB145-AB137*AD145,2)</f>
        <v>12.6</v>
      </c>
      <c r="AF145" s="211">
        <v>30.9</v>
      </c>
      <c r="AG145" s="212">
        <v>36.6</v>
      </c>
      <c r="AH145" s="203">
        <f>ROUND((AG145-AF145)/(AG137-AF137),4)</f>
        <v>9.4999999999999998E-3</v>
      </c>
      <c r="AI145" s="217">
        <f>ROUND(AF145-AF137*AH145,2)</f>
        <v>11.9</v>
      </c>
      <c r="AJ145" s="211">
        <v>35.5</v>
      </c>
      <c r="AK145" s="212">
        <v>42.1</v>
      </c>
      <c r="AL145" s="203">
        <f>ROUND((AK145-AJ145)/(AK137-AJ137),4)</f>
        <v>1.0999999999999999E-2</v>
      </c>
      <c r="AM145" s="217">
        <f>ROUND(AJ145-AJ137*AL145,2)</f>
        <v>13.5</v>
      </c>
      <c r="AN145" s="211">
        <v>36.200000000000003</v>
      </c>
      <c r="AO145" s="212">
        <v>43</v>
      </c>
      <c r="AP145" s="203">
        <f>ROUND((AO145-AN145)/(AO137-AN137),4)</f>
        <v>1.1299999999999999E-2</v>
      </c>
      <c r="AQ145" s="217">
        <f>ROUND(AN145-AN137*AP145,2)</f>
        <v>13.6</v>
      </c>
      <c r="AR145" s="211">
        <v>38.5</v>
      </c>
      <c r="AS145" s="212">
        <v>45.6</v>
      </c>
      <c r="AT145" s="203">
        <f>ROUND((AS145-AR145)/(AS137-AR137),4)</f>
        <v>1.18E-2</v>
      </c>
      <c r="AU145" s="217">
        <f>ROUND(AR145-AR137*AT145,2)</f>
        <v>14.9</v>
      </c>
    </row>
    <row r="146" spans="1:48">
      <c r="A146" t="s">
        <v>255</v>
      </c>
      <c r="B146" s="163" t="e">
        <f>ROUND(B145/(0.000335*B137),1)+B140</f>
        <v>#REF!</v>
      </c>
      <c r="D146" s="133">
        <v>10</v>
      </c>
      <c r="E146" s="133">
        <v>5</v>
      </c>
      <c r="F146" s="203">
        <f>INDEX($R138:$AU152,$D146,1+VLOOKUP($B138,$B$351:$E$368,4,FALSE))</f>
        <v>8.2000000000000007E-3</v>
      </c>
      <c r="G146" s="203">
        <f>INDEX($R138:$AU152,$D146,2+VLOOKUP($B138,$B$351:$E$368,4,FALSE))</f>
        <v>10.1</v>
      </c>
      <c r="H146" s="203">
        <f>INDEX($R138:$AU152,$D146,5+VLOOKUP($B138,$B$351:$E$368,4,FALSE))</f>
        <v>9.7000000000000003E-3</v>
      </c>
      <c r="I146" s="203">
        <f>INDEX($R138:$AU152,$D146,6+VLOOKUP($B138,$B$351:$E$368,4,FALSE))</f>
        <v>11.7</v>
      </c>
      <c r="J146" s="203">
        <f>INDEX($R138:$AU152,$D146,9+VLOOKUP($B138,$B$351:$E$368,4,FALSE))</f>
        <v>9.7000000000000003E-3</v>
      </c>
      <c r="K146" s="203">
        <f>INDEX($R138:$AU152,$D146,10+VLOOKUP($B138,$B$351:$E$368,4,FALSE))</f>
        <v>12.5</v>
      </c>
      <c r="L146" s="203">
        <f>INDEX($R138:$AU152,$D146,13+VLOOKUP($B138,$B$351:$E$368,4,FALSE))</f>
        <v>1.03E-2</v>
      </c>
      <c r="M146" s="203">
        <f>INDEX($R138:$AU152,$D146,14+VLOOKUP($B138,$B$351:$E$368,4,FALSE))</f>
        <v>13.5</v>
      </c>
      <c r="O146" s="215">
        <v>0</v>
      </c>
      <c r="P146" s="211">
        <v>20.9</v>
      </c>
      <c r="Q146" s="212">
        <v>24.4</v>
      </c>
      <c r="R146" s="203">
        <f>ROUND((Q146-P146)/(Q137-P137),4)</f>
        <v>5.7999999999999996E-3</v>
      </c>
      <c r="S146" s="217">
        <f>ROUND(P146-P137*R146,2)</f>
        <v>9.3000000000000007</v>
      </c>
      <c r="T146" s="211">
        <v>24.5</v>
      </c>
      <c r="U146" s="212">
        <v>28.6</v>
      </c>
      <c r="V146" s="203">
        <f>ROUND((U146-T146)/(U137-T137),4)</f>
        <v>6.7999999999999996E-3</v>
      </c>
      <c r="W146" s="217">
        <f>ROUND(T146-T137*V146,2)</f>
        <v>10.9</v>
      </c>
      <c r="X146" s="211">
        <v>24.8</v>
      </c>
      <c r="Y146" s="212">
        <v>28.9</v>
      </c>
      <c r="Z146" s="203">
        <f>ROUND((Y146-X146)/(Y137-X137),4)</f>
        <v>6.7999999999999996E-3</v>
      </c>
      <c r="AA146" s="217">
        <f>ROUND(X146-X137*Z146,2)</f>
        <v>11.2</v>
      </c>
      <c r="AB146" s="211">
        <v>25.9</v>
      </c>
      <c r="AC146" s="212">
        <v>30.1</v>
      </c>
      <c r="AD146" s="203">
        <f>ROUND((AC146-AB146)/(AC137-AB137),4)</f>
        <v>7.0000000000000001E-3</v>
      </c>
      <c r="AE146" s="217">
        <f>ROUND(AB146-AB137*AD146,2)</f>
        <v>11.9</v>
      </c>
      <c r="AF146" s="211">
        <v>28.7</v>
      </c>
      <c r="AG146" s="212">
        <v>34.1</v>
      </c>
      <c r="AH146" s="203">
        <f>ROUND((AG146-AF146)/(AG137-AF137),4)</f>
        <v>8.9999999999999993E-3</v>
      </c>
      <c r="AI146" s="217">
        <f>ROUND(AF146-AF137*AH146,2)</f>
        <v>10.7</v>
      </c>
      <c r="AJ146" s="211">
        <v>33.299999999999997</v>
      </c>
      <c r="AK146" s="212">
        <v>39.5</v>
      </c>
      <c r="AL146" s="203">
        <f>ROUND((AK146-AJ146)/(AK137-AJ137),4)</f>
        <v>1.03E-2</v>
      </c>
      <c r="AM146" s="217">
        <f>ROUND(AJ146-AJ137*AL146,2)</f>
        <v>12.7</v>
      </c>
      <c r="AN146" s="211">
        <v>34</v>
      </c>
      <c r="AO146" s="212">
        <v>40.299999999999997</v>
      </c>
      <c r="AP146" s="203">
        <f>ROUND((AO146-AN146)/(AO137-AN137),4)</f>
        <v>1.0500000000000001E-2</v>
      </c>
      <c r="AQ146" s="217">
        <f>ROUND(AN146-AN137*AP146,2)</f>
        <v>13</v>
      </c>
      <c r="AR146" s="211">
        <v>36.299999999999997</v>
      </c>
      <c r="AS146" s="212">
        <v>42.9</v>
      </c>
      <c r="AT146" s="203">
        <f>ROUND((AS146-AR146)/(AS137-AR137),4)</f>
        <v>1.0999999999999999E-2</v>
      </c>
      <c r="AU146" s="217">
        <f>ROUND(AR146-AR137*AT146,2)</f>
        <v>14.3</v>
      </c>
    </row>
    <row r="147" spans="1:48">
      <c r="D147" s="133">
        <v>11</v>
      </c>
      <c r="E147" s="133">
        <v>10</v>
      </c>
      <c r="F147" s="203">
        <f>INDEX($R138:$AU152,$D147,1+VLOOKUP($B138,$B$351:$E$368,4,FALSE))</f>
        <v>7.3000000000000001E-3</v>
      </c>
      <c r="G147" s="203">
        <f>INDEX($R138:$AU152,$D147,2+VLOOKUP($B138,$B$351:$E$368,4,FALSE))</f>
        <v>9.8000000000000007</v>
      </c>
      <c r="H147" s="203">
        <f>INDEX($R138:$AU152,$D147,5+VLOOKUP($B138,$B$351:$E$368,4,FALSE))</f>
        <v>8.9999999999999993E-3</v>
      </c>
      <c r="I147" s="203">
        <f>INDEX($R138:$AU152,$D147,6+VLOOKUP($B138,$B$351:$E$368,4,FALSE))</f>
        <v>10.9</v>
      </c>
      <c r="J147" s="203">
        <f>INDEX($R138:$AU152,$D147,9+VLOOKUP($B138,$B$351:$E$368,4,FALSE))</f>
        <v>8.9999999999999993E-3</v>
      </c>
      <c r="K147" s="203">
        <f>INDEX($R138:$AU152,$D147,10+VLOOKUP($B138,$B$351:$E$368,4,FALSE))</f>
        <v>11.7</v>
      </c>
      <c r="L147" s="203">
        <f>INDEX($R138:$AU152,$D147,13+VLOOKUP($B138,$B$351:$E$368,4,FALSE))</f>
        <v>9.4999999999999998E-3</v>
      </c>
      <c r="M147" s="203">
        <f>INDEX($R138:$AU152,$D147,14+VLOOKUP($B138,$B$351:$E$368,4,FALSE))</f>
        <v>12.9</v>
      </c>
      <c r="O147" s="215">
        <v>5</v>
      </c>
      <c r="P147" s="211">
        <v>19.2</v>
      </c>
      <c r="Q147" s="212">
        <v>22.4</v>
      </c>
      <c r="R147" s="203">
        <f>ROUND((Q147-P147)/(Q137-P137),4)</f>
        <v>5.3E-3</v>
      </c>
      <c r="S147" s="217">
        <f>ROUND(P147-P137*R147,2)</f>
        <v>8.6</v>
      </c>
      <c r="T147" s="211">
        <v>22.8</v>
      </c>
      <c r="U147" s="212">
        <v>26.6</v>
      </c>
      <c r="V147" s="203">
        <f>ROUND((U147-T147)/(U137-T137),4)</f>
        <v>6.3E-3</v>
      </c>
      <c r="W147" s="217">
        <f>ROUND(T147-T137*V147,2)</f>
        <v>10.199999999999999</v>
      </c>
      <c r="X147" s="211">
        <v>23.1</v>
      </c>
      <c r="Y147" s="212">
        <v>27</v>
      </c>
      <c r="Z147" s="203">
        <f>ROUND((Y147-X147)/(Y137-X137),4)</f>
        <v>6.4999999999999997E-3</v>
      </c>
      <c r="AA147" s="217">
        <f>ROUND(X147-X137*Z147,2)</f>
        <v>10.1</v>
      </c>
      <c r="AB147" s="211">
        <v>24.2</v>
      </c>
      <c r="AC147" s="212">
        <v>28.1</v>
      </c>
      <c r="AD147" s="203">
        <f>ROUND((AC147-AB147)/(AC137-AB137),4)</f>
        <v>6.4999999999999997E-3</v>
      </c>
      <c r="AE147" s="217">
        <f>ROUND(AB147-AB137*AD147,2)</f>
        <v>11.2</v>
      </c>
      <c r="AF147" s="211">
        <v>26.5</v>
      </c>
      <c r="AG147" s="212">
        <v>31.4</v>
      </c>
      <c r="AH147" s="203">
        <f>ROUND((AG147-AF147)/(AG137-AF137),4)</f>
        <v>8.2000000000000007E-3</v>
      </c>
      <c r="AI147" s="217">
        <f>ROUND(AF147-AF137*AH147,2)</f>
        <v>10.1</v>
      </c>
      <c r="AJ147" s="211">
        <v>31.1</v>
      </c>
      <c r="AK147" s="212">
        <v>36.9</v>
      </c>
      <c r="AL147" s="203">
        <f>ROUND((AK147-AJ147)/(AK137-AJ137),4)</f>
        <v>9.7000000000000003E-3</v>
      </c>
      <c r="AM147" s="217">
        <f>ROUND(AJ147-AJ137*AL147,2)</f>
        <v>11.7</v>
      </c>
      <c r="AN147" s="211">
        <v>31.9</v>
      </c>
      <c r="AO147" s="212">
        <v>37.700000000000003</v>
      </c>
      <c r="AP147" s="203">
        <f>ROUND((AO147-AN147)/(AO137-AN137),4)</f>
        <v>9.7000000000000003E-3</v>
      </c>
      <c r="AQ147" s="217">
        <f>ROUND(AN147-AN137*AP147,2)</f>
        <v>12.5</v>
      </c>
      <c r="AR147" s="211">
        <v>34.1</v>
      </c>
      <c r="AS147" s="212">
        <v>40.299999999999997</v>
      </c>
      <c r="AT147" s="203">
        <f>ROUND((AS147-AR147)/(AS137-AR137),4)</f>
        <v>1.03E-2</v>
      </c>
      <c r="AU147" s="217">
        <f>ROUND(AR147-AR137*AT147,2)</f>
        <v>13.5</v>
      </c>
    </row>
    <row r="148" spans="1:48">
      <c r="A148" t="s">
        <v>256</v>
      </c>
      <c r="B148" s="163" t="e">
        <f>ROUND(B145/(4183*VLOOKUP(B139,B$345:E$348,4,FALSE))*3600,2)</f>
        <v>#REF!</v>
      </c>
      <c r="D148" s="133">
        <v>12</v>
      </c>
      <c r="E148" s="133">
        <v>15</v>
      </c>
      <c r="F148" s="203">
        <f>INDEX($R138:$AU152,$D148,1+VLOOKUP($B138,$B$351:$E$368,4,FALSE))</f>
        <v>6.7000000000000002E-3</v>
      </c>
      <c r="G148" s="203">
        <f>INDEX($R138:$AU152,$D148,2+VLOOKUP($B138,$B$351:$E$368,4,FALSE))</f>
        <v>8.8000000000000007</v>
      </c>
      <c r="H148" s="203">
        <f>INDEX($R138:$AU152,$D148,5+VLOOKUP($B138,$B$351:$E$368,4,FALSE))</f>
        <v>8.2000000000000007E-3</v>
      </c>
      <c r="I148" s="203">
        <f>INDEX($R138:$AU152,$D148,6+VLOOKUP($B138,$B$351:$E$368,4,FALSE))</f>
        <v>10.4</v>
      </c>
      <c r="J148" s="203">
        <f>INDEX($R138:$AU152,$D148,9+VLOOKUP($B138,$B$351:$E$368,4,FALSE))</f>
        <v>8.3000000000000001E-3</v>
      </c>
      <c r="K148" s="203">
        <f>INDEX($R138:$AU152,$D148,10+VLOOKUP($B138,$B$351:$E$368,4,FALSE))</f>
        <v>10.9</v>
      </c>
      <c r="L148" s="203">
        <f>INDEX($R138:$AU152,$D148,13+VLOOKUP($B138,$B$351:$E$368,4,FALSE))</f>
        <v>8.8000000000000005E-3</v>
      </c>
      <c r="M148" s="203">
        <f>INDEX($R138:$AU152,$D148,14+VLOOKUP($B138,$B$351:$E$368,4,FALSE))</f>
        <v>12.1</v>
      </c>
      <c r="O148" s="215">
        <v>10</v>
      </c>
      <c r="P148" s="211">
        <v>17.600000000000001</v>
      </c>
      <c r="Q148" s="212">
        <v>20.5</v>
      </c>
      <c r="R148" s="203">
        <f>ROUND((Q148-P148)/(Q137-P137),4)</f>
        <v>4.7999999999999996E-3</v>
      </c>
      <c r="S148" s="217">
        <f>ROUND(P148-P137*R148,2)</f>
        <v>8</v>
      </c>
      <c r="T148" s="211">
        <v>21.1</v>
      </c>
      <c r="U148" s="212">
        <v>24.6</v>
      </c>
      <c r="V148" s="203">
        <f>ROUND((U148-T148)/(U137-T137),4)</f>
        <v>5.7999999999999996E-3</v>
      </c>
      <c r="W148" s="217">
        <f>ROUND(T148-T137*V148,2)</f>
        <v>9.5</v>
      </c>
      <c r="X148" s="211">
        <v>21.5</v>
      </c>
      <c r="Y148" s="212">
        <v>25</v>
      </c>
      <c r="Z148" s="203">
        <f>ROUND((Y148-X148)/(Y137-X137),4)</f>
        <v>5.7999999999999996E-3</v>
      </c>
      <c r="AA148" s="217">
        <f>ROUND(X148-X137*Z148,2)</f>
        <v>9.9</v>
      </c>
      <c r="AB148" s="211">
        <v>22.5</v>
      </c>
      <c r="AC148" s="212">
        <v>26.2</v>
      </c>
      <c r="AD148" s="203">
        <f>ROUND((AC148-AB148)/(AC137-AB137),4)</f>
        <v>6.1999999999999998E-3</v>
      </c>
      <c r="AE148" s="217">
        <f>ROUND(AB148-AB137*AD148,2)</f>
        <v>10.1</v>
      </c>
      <c r="AF148" s="211">
        <v>24.4</v>
      </c>
      <c r="AG148" s="212">
        <v>28.8</v>
      </c>
      <c r="AH148" s="203">
        <f>ROUND((AG148-AF148)/(AG137-AF137),4)</f>
        <v>7.3000000000000001E-3</v>
      </c>
      <c r="AI148" s="217">
        <f>ROUND(AF148-AF137*AH148,2)</f>
        <v>9.8000000000000007</v>
      </c>
      <c r="AJ148" s="211">
        <v>28.9</v>
      </c>
      <c r="AK148" s="212">
        <v>34.299999999999997</v>
      </c>
      <c r="AL148" s="203">
        <f>ROUND((AK148-AJ148)/(AK137-AJ137),4)</f>
        <v>8.9999999999999993E-3</v>
      </c>
      <c r="AM148" s="217">
        <f>ROUND(AJ148-AJ137*AL148,2)</f>
        <v>10.9</v>
      </c>
      <c r="AN148" s="211">
        <v>29.7</v>
      </c>
      <c r="AO148" s="212">
        <v>35.1</v>
      </c>
      <c r="AP148" s="203">
        <f>ROUND((AO148-AN148)/(AO137-AN137),4)</f>
        <v>8.9999999999999993E-3</v>
      </c>
      <c r="AQ148" s="217">
        <f>ROUND(AN148-AN137*AP148,2)</f>
        <v>11.7</v>
      </c>
      <c r="AR148" s="211">
        <v>31.9</v>
      </c>
      <c r="AS148" s="212">
        <v>37.6</v>
      </c>
      <c r="AT148" s="203">
        <f>ROUND((AS148-AR148)/(AS137-AR137),4)</f>
        <v>9.4999999999999998E-3</v>
      </c>
      <c r="AU148" s="217">
        <f>ROUND(AR148-AR137*AT148,2)</f>
        <v>12.9</v>
      </c>
    </row>
    <row r="149" spans="1:48">
      <c r="A149" t="s">
        <v>257</v>
      </c>
      <c r="B149" s="163" t="e">
        <f>ROUND(100*POWER(B148/VLOOKUP(B138,B$351:C$368,2,FALSE),2),1)</f>
        <v>#REF!</v>
      </c>
      <c r="D149" s="133">
        <v>13</v>
      </c>
      <c r="E149" s="133">
        <v>20</v>
      </c>
      <c r="F149" s="203">
        <f>INDEX($R138:$AU152,$D149,1+VLOOKUP($B138,$B$351:$E$368,4,FALSE))</f>
        <v>6.0000000000000001E-3</v>
      </c>
      <c r="G149" s="203">
        <f>INDEX($R138:$AU152,$D149,2+VLOOKUP($B138,$B$351:$E$368,4,FALSE))</f>
        <v>8.01</v>
      </c>
      <c r="H149" s="203">
        <f>INDEX($R138:$AU152,$D149,5+VLOOKUP($B138,$B$351:$E$368,4,FALSE))</f>
        <v>7.6E-3</v>
      </c>
      <c r="I149" s="203">
        <f>INDEX($R138:$AU152,$D149,6+VLOOKUP($B138,$B$351:$E$368,4,FALSE))</f>
        <v>9.33</v>
      </c>
      <c r="J149" s="203">
        <f>INDEX($R138:$AU152,$D149,9+VLOOKUP($B138,$B$351:$E$368,4,FALSE))</f>
        <v>7.6E-3</v>
      </c>
      <c r="K149" s="203">
        <f>INDEX($R138:$AU152,$D149,10+VLOOKUP($B138,$B$351:$E$368,4,FALSE))</f>
        <v>10.130000000000001</v>
      </c>
      <c r="L149" s="203">
        <f>INDEX($R138:$AU152,$D149,13+VLOOKUP($B138,$B$351:$E$368,4,FALSE))</f>
        <v>8.2000000000000007E-3</v>
      </c>
      <c r="M149" s="203">
        <f>INDEX($R138:$AU152,$D149,14+VLOOKUP($B138,$B$351:$E$368,4,FALSE))</f>
        <v>11.06</v>
      </c>
      <c r="O149" s="215">
        <v>15</v>
      </c>
      <c r="P149" s="211">
        <v>15.9</v>
      </c>
      <c r="Q149" s="212">
        <v>18.5</v>
      </c>
      <c r="R149" s="203">
        <f>ROUND((Q149-P149)/(Q137-P137),4)</f>
        <v>4.3E-3</v>
      </c>
      <c r="S149" s="217">
        <f>ROUND(P149-P137*R149,2)</f>
        <v>7.3</v>
      </c>
      <c r="T149" s="211">
        <v>19.5</v>
      </c>
      <c r="U149" s="212">
        <v>22.7</v>
      </c>
      <c r="V149" s="203">
        <f>ROUND((U149-T149)/(U137-T137),4)</f>
        <v>5.3E-3</v>
      </c>
      <c r="W149" s="217">
        <f>ROUND(T149-T137*V149,2)</f>
        <v>8.9</v>
      </c>
      <c r="X149" s="211">
        <v>19.8</v>
      </c>
      <c r="Y149" s="212">
        <v>23</v>
      </c>
      <c r="Z149" s="203">
        <f>ROUND((Y149-X149)/(Y137-X137),4)</f>
        <v>5.3E-3</v>
      </c>
      <c r="AA149" s="217">
        <f>ROUND(X149-X137*Z149,2)</f>
        <v>9.1999999999999993</v>
      </c>
      <c r="AB149" s="211">
        <v>20.9</v>
      </c>
      <c r="AC149" s="212">
        <v>24.2</v>
      </c>
      <c r="AD149" s="203">
        <f>ROUND((AC149-AB149)/(AC137-AB137),4)</f>
        <v>5.4999999999999997E-3</v>
      </c>
      <c r="AE149" s="217">
        <f>ROUND(AB149-AB137*AD149,2)</f>
        <v>9.9</v>
      </c>
      <c r="AF149" s="211">
        <v>22.2</v>
      </c>
      <c r="AG149" s="212">
        <v>26.2</v>
      </c>
      <c r="AH149" s="203">
        <f>ROUND((AG149-AF149)/(AG137-AF137),4)</f>
        <v>6.7000000000000002E-3</v>
      </c>
      <c r="AI149" s="217">
        <f>ROUND(AF149-AF137*AH149,2)</f>
        <v>8.8000000000000007</v>
      </c>
      <c r="AJ149" s="211">
        <v>26.8</v>
      </c>
      <c r="AK149" s="212">
        <v>31.7</v>
      </c>
      <c r="AL149" s="203">
        <f>ROUND((AK149-AJ149)/(AK137-AJ137),4)</f>
        <v>8.2000000000000007E-3</v>
      </c>
      <c r="AM149" s="217">
        <f>ROUND(AJ149-AJ137*AL149,2)</f>
        <v>10.4</v>
      </c>
      <c r="AN149" s="211">
        <v>27.5</v>
      </c>
      <c r="AO149" s="212">
        <v>32.5</v>
      </c>
      <c r="AP149" s="203">
        <f>ROUND((AO149-AN149)/(AO137-AN137),4)</f>
        <v>8.3000000000000001E-3</v>
      </c>
      <c r="AQ149" s="217">
        <f>ROUND(AN149-AN137*AP149,2)</f>
        <v>10.9</v>
      </c>
      <c r="AR149" s="211">
        <v>29.7</v>
      </c>
      <c r="AS149" s="212">
        <v>35</v>
      </c>
      <c r="AT149" s="203">
        <f>ROUND((AS149-AR149)/(AS137-AR137),4)</f>
        <v>8.8000000000000005E-3</v>
      </c>
      <c r="AU149" s="217">
        <f>ROUND(AR149-AR137*AT149,2)</f>
        <v>12.1</v>
      </c>
    </row>
    <row r="150" spans="1:48">
      <c r="D150" s="133">
        <v>14</v>
      </c>
      <c r="E150" s="133">
        <v>25</v>
      </c>
      <c r="F150" s="203">
        <f>INDEX($R138:$AU152,$D150,1+VLOOKUP($B138,$B$351:$E$368,4,FALSE))</f>
        <v>5.3E-3</v>
      </c>
      <c r="G150" s="203">
        <f>INDEX($R138:$AU152,$D150,2+VLOOKUP($B138,$B$351:$E$368,4,FALSE))</f>
        <v>7.24</v>
      </c>
      <c r="H150" s="203">
        <f>INDEX($R138:$AU152,$D150,5+VLOOKUP($B138,$B$351:$E$368,4,FALSE))</f>
        <v>6.8999999999999999E-3</v>
      </c>
      <c r="I150" s="203">
        <f>INDEX($R138:$AU152,$D150,6+VLOOKUP($B138,$B$351:$E$368,4,FALSE))</f>
        <v>8.5399999999999991</v>
      </c>
      <c r="J150" s="203">
        <f>INDEX($R138:$AU152,$D150,9+VLOOKUP($B138,$B$351:$E$368,4,FALSE))</f>
        <v>6.7999999999999996E-3</v>
      </c>
      <c r="K150" s="203">
        <f>INDEX($R138:$AU152,$D150,10+VLOOKUP($B138,$B$351:$E$368,4,FALSE))</f>
        <v>9.56</v>
      </c>
      <c r="L150" s="203">
        <f>INDEX($R138:$AU152,$D150,13+VLOOKUP($B138,$B$351:$E$368,4,FALSE))</f>
        <v>7.4999999999999997E-3</v>
      </c>
      <c r="M150" s="203">
        <f>INDEX($R138:$AU152,$D150,14+VLOOKUP($B138,$B$351:$E$368,4,FALSE))</f>
        <v>10.25</v>
      </c>
      <c r="O150" s="215">
        <v>20</v>
      </c>
      <c r="P150" s="211">
        <v>14.226666666666601</v>
      </c>
      <c r="Q150" s="212">
        <v>16.566666666666698</v>
      </c>
      <c r="R150" s="203">
        <f>ROUND((Q150-P150)/(Q137-P137),4)</f>
        <v>3.8999999999999998E-3</v>
      </c>
      <c r="S150" s="217">
        <f>ROUND(P150-P137*R150,2)</f>
        <v>6.43</v>
      </c>
      <c r="T150" s="211">
        <v>17.8</v>
      </c>
      <c r="U150" s="212">
        <v>20.7</v>
      </c>
      <c r="V150" s="203">
        <f>ROUND((U150-T150)/(U137-T137),4)</f>
        <v>4.7999999999999996E-3</v>
      </c>
      <c r="W150" s="217">
        <f>ROUND(T150-T137*V150,2)</f>
        <v>8.1999999999999993</v>
      </c>
      <c r="X150" s="211">
        <v>18.14</v>
      </c>
      <c r="Y150" s="212">
        <v>21.1</v>
      </c>
      <c r="Z150" s="203">
        <f>ROUND((Y150-X150)/(Y137-X137),4)</f>
        <v>4.8999999999999998E-3</v>
      </c>
      <c r="AA150" s="217">
        <f>ROUND(X150-X137*Z150,2)</f>
        <v>8.34</v>
      </c>
      <c r="AB150" s="211">
        <v>19.1733333333333</v>
      </c>
      <c r="AC150" s="212">
        <v>22.24</v>
      </c>
      <c r="AD150" s="203">
        <f>ROUND((AC150-AB150)/(AC137-AB137),4)</f>
        <v>5.1000000000000004E-3</v>
      </c>
      <c r="AE150" s="217">
        <f>ROUND(AB150-AB137*AD150,2)</f>
        <v>8.9700000000000006</v>
      </c>
      <c r="AF150" s="211">
        <v>20.0133333333333</v>
      </c>
      <c r="AG150" s="212">
        <v>23.62</v>
      </c>
      <c r="AH150" s="203">
        <f>ROUND((AG150-AF150)/(AG137-AF137),4)</f>
        <v>6.0000000000000001E-3</v>
      </c>
      <c r="AI150" s="217">
        <f>ROUND(AF150-AF137*AH150,2)</f>
        <v>8.01</v>
      </c>
      <c r="AJ150" s="211">
        <v>24.533333333333299</v>
      </c>
      <c r="AK150" s="212">
        <v>29.1</v>
      </c>
      <c r="AL150" s="203">
        <f>ROUND((AK150-AJ150)/(AK137-AJ137),4)</f>
        <v>7.6E-3</v>
      </c>
      <c r="AM150" s="217">
        <f>ROUND(AJ150-AJ137*AL150,2)</f>
        <v>9.33</v>
      </c>
      <c r="AN150" s="211">
        <v>25.3333333333333</v>
      </c>
      <c r="AO150" s="212">
        <v>29.873333333333399</v>
      </c>
      <c r="AP150" s="203">
        <f>ROUND((AO150-AN150)/(AO137-AN137),4)</f>
        <v>7.6E-3</v>
      </c>
      <c r="AQ150" s="217">
        <f>ROUND(AN150-AN137*AP150,2)</f>
        <v>10.130000000000001</v>
      </c>
      <c r="AR150" s="211">
        <v>27.46</v>
      </c>
      <c r="AS150" s="212">
        <v>32.4</v>
      </c>
      <c r="AT150" s="203">
        <f>ROUND((AS150-AR150)/(AS137-AR137),4)</f>
        <v>8.2000000000000007E-3</v>
      </c>
      <c r="AU150" s="217">
        <f>ROUND(AR150-AR137*AT150,2)</f>
        <v>11.06</v>
      </c>
    </row>
    <row r="151" spans="1:48">
      <c r="D151" s="133">
        <v>15</v>
      </c>
      <c r="E151" s="133">
        <v>30</v>
      </c>
      <c r="F151" s="203">
        <f>INDEX($R138:$AU152,$D151,1+VLOOKUP($B138,$B$351:$E$368,4,FALSE))</f>
        <v>4.5999999999999999E-3</v>
      </c>
      <c r="G151" s="203">
        <f>INDEX($R138:$AU152,$D151,2+VLOOKUP($B138,$B$351:$E$368,4,FALSE))</f>
        <v>6.46</v>
      </c>
      <c r="H151" s="203">
        <f>INDEX($R138:$AU152,$D151,5+VLOOKUP($B138,$B$351:$E$368,4,FALSE))</f>
        <v>6.1999999999999998E-3</v>
      </c>
      <c r="I151" s="203">
        <f>INDEX($R138:$AU152,$D151,6+VLOOKUP($B138,$B$351:$E$368,4,FALSE))</f>
        <v>7.75</v>
      </c>
      <c r="J151" s="203">
        <f>INDEX($R138:$AU152,$D151,9+VLOOKUP($B138,$B$351:$E$368,4,FALSE))</f>
        <v>6.1000000000000004E-3</v>
      </c>
      <c r="K151" s="203">
        <f>INDEX($R138:$AU152,$D151,10+VLOOKUP($B138,$B$351:$E$368,4,FALSE))</f>
        <v>8.7799999999999994</v>
      </c>
      <c r="L151" s="203">
        <f>INDEX($R138:$AU152,$D151,13+VLOOKUP($B138,$B$351:$E$368,4,FALSE))</f>
        <v>6.8999999999999999E-3</v>
      </c>
      <c r="M151" s="203">
        <f>INDEX($R138:$AU152,$D151,14+VLOOKUP($B138,$B$351:$E$368,4,FALSE))</f>
        <v>9.23</v>
      </c>
      <c r="O151" s="215">
        <v>25</v>
      </c>
      <c r="P151" s="211">
        <v>12.560606060606</v>
      </c>
      <c r="Q151" s="212">
        <v>14.615151515151499</v>
      </c>
      <c r="R151" s="203">
        <f>ROUND((Q151-P151)/(Q137-P137),4)</f>
        <v>3.3999999999999998E-3</v>
      </c>
      <c r="S151" s="217">
        <f>ROUND(P151-P137*R151,2)</f>
        <v>5.76</v>
      </c>
      <c r="T151" s="211">
        <v>16.132727272727301</v>
      </c>
      <c r="U151" s="212">
        <v>18.734545454545501</v>
      </c>
      <c r="V151" s="203">
        <f>ROUND((U151-T151)/(U137-T137),4)</f>
        <v>4.3E-3</v>
      </c>
      <c r="W151" s="217">
        <f>ROUND(T151-T137*V151,2)</f>
        <v>7.53</v>
      </c>
      <c r="X151" s="211">
        <v>16.474545454545499</v>
      </c>
      <c r="Y151" s="212">
        <v>19.149090909090901</v>
      </c>
      <c r="Z151" s="203">
        <f>ROUND((Y151-X151)/(Y137-X137),4)</f>
        <v>4.4999999999999997E-3</v>
      </c>
      <c r="AA151" s="217">
        <f>ROUND(X151-X137*Z151,2)</f>
        <v>7.47</v>
      </c>
      <c r="AB151" s="211">
        <v>17.493939393939399</v>
      </c>
      <c r="AC151" s="212">
        <v>20.2745454545454</v>
      </c>
      <c r="AD151" s="203">
        <f>ROUND((AC151-AB151)/(AC137-AB137),4)</f>
        <v>4.5999999999999999E-3</v>
      </c>
      <c r="AE151" s="217">
        <f>ROUND(AB151-AB137*AD151,2)</f>
        <v>8.2899999999999991</v>
      </c>
      <c r="AF151" s="211">
        <v>17.837575757575799</v>
      </c>
      <c r="AG151" s="212">
        <v>21.021818181818201</v>
      </c>
      <c r="AH151" s="203">
        <f>ROUND((AG151-AF151)/(AG137-AF137),4)</f>
        <v>5.3E-3</v>
      </c>
      <c r="AI151" s="217">
        <f>ROUND(AF151-AF137*AH151,2)</f>
        <v>7.24</v>
      </c>
      <c r="AJ151" s="211">
        <v>22.3430303030303</v>
      </c>
      <c r="AK151" s="212">
        <v>26.5</v>
      </c>
      <c r="AL151" s="203">
        <f>ROUND((AK151-AJ151)/(AK137-AJ137),4)</f>
        <v>6.8999999999999999E-3</v>
      </c>
      <c r="AM151" s="217">
        <f>ROUND(AJ151-AJ137*AL151,2)</f>
        <v>8.5399999999999991</v>
      </c>
      <c r="AN151" s="211">
        <v>23.155757575757601</v>
      </c>
      <c r="AO151" s="212">
        <v>27.259393939393998</v>
      </c>
      <c r="AP151" s="203">
        <f>ROUND((AO151-AN151)/(AO137-AN137),4)</f>
        <v>6.7999999999999996E-3</v>
      </c>
      <c r="AQ151" s="217">
        <f>ROUND(AN151-AN137*AP151,2)</f>
        <v>9.56</v>
      </c>
      <c r="AR151" s="211">
        <v>25.247272727272701</v>
      </c>
      <c r="AS151" s="212">
        <v>29.776363636363602</v>
      </c>
      <c r="AT151" s="203">
        <f>ROUND((AS151-AR151)/(AS137-AR137),4)</f>
        <v>7.4999999999999997E-3</v>
      </c>
      <c r="AU151" s="217">
        <f>ROUND(AR151-AR137*AT151,2)</f>
        <v>10.25</v>
      </c>
    </row>
    <row r="152" spans="1:48" ht="15" thickBot="1">
      <c r="O152" s="216">
        <v>30</v>
      </c>
      <c r="P152" s="226">
        <v>10.894545454545399</v>
      </c>
      <c r="Q152" s="227">
        <v>12.6636363636364</v>
      </c>
      <c r="R152" s="228">
        <f>ROUND((Q152-P152)/(Q137-P137),4)</f>
        <v>2.8999999999999998E-3</v>
      </c>
      <c r="S152" s="229">
        <f>ROUND(P152-P137*R152,2)</f>
        <v>5.09</v>
      </c>
      <c r="T152" s="226">
        <v>14.4654545454546</v>
      </c>
      <c r="U152" s="227">
        <v>16.769090909090998</v>
      </c>
      <c r="V152" s="228">
        <f>ROUND((U152-T152)/(U137-T137),4)</f>
        <v>3.8E-3</v>
      </c>
      <c r="W152" s="229">
        <f>ROUND(T152-T137*V152,2)</f>
        <v>6.87</v>
      </c>
      <c r="X152" s="226">
        <v>14.809090909090999</v>
      </c>
      <c r="Y152" s="227">
        <v>17.198181818181801</v>
      </c>
      <c r="Z152" s="228">
        <f>ROUND((Y152-X152)/(Y137-X137),4)</f>
        <v>4.0000000000000001E-3</v>
      </c>
      <c r="AA152" s="229">
        <f>ROUND(X152-X137*Z152,2)</f>
        <v>6.81</v>
      </c>
      <c r="AB152" s="226">
        <v>15.814545454545399</v>
      </c>
      <c r="AC152" s="227">
        <v>18.309090909091001</v>
      </c>
      <c r="AD152" s="228">
        <f>ROUND((AC152-AB152)/(AC137-AB137),4)</f>
        <v>4.1999999999999997E-3</v>
      </c>
      <c r="AE152" s="229">
        <f>ROUND(AB152-AB137*AD152,2)</f>
        <v>7.41</v>
      </c>
      <c r="AF152" s="226">
        <v>15.6618181818182</v>
      </c>
      <c r="AG152" s="227">
        <v>18.423636363636401</v>
      </c>
      <c r="AH152" s="228">
        <f>ROUND((AG152-AF152)/(AG137-AF137),4)</f>
        <v>4.5999999999999999E-3</v>
      </c>
      <c r="AI152" s="229">
        <f>ROUND(AF152-AF137*AH152,2)</f>
        <v>6.46</v>
      </c>
      <c r="AJ152" s="226">
        <v>20.152727272727201</v>
      </c>
      <c r="AK152" s="227">
        <v>23.9</v>
      </c>
      <c r="AL152" s="228">
        <f>ROUND((AK152-AJ152)/(AK137-AJ137),4)</f>
        <v>6.1999999999999998E-3</v>
      </c>
      <c r="AM152" s="229">
        <f>ROUND(AJ152-AJ137*AL152,2)</f>
        <v>7.75</v>
      </c>
      <c r="AN152" s="226">
        <v>20.978181818181799</v>
      </c>
      <c r="AO152" s="227">
        <v>24.645454545454601</v>
      </c>
      <c r="AP152" s="228">
        <f>ROUND((AO152-AN152)/(AO137-AN137),4)</f>
        <v>6.1000000000000004E-3</v>
      </c>
      <c r="AQ152" s="229">
        <f>ROUND(AN152-AN137*AP152,2)</f>
        <v>8.7799999999999994</v>
      </c>
      <c r="AR152" s="226">
        <v>23.034545454545398</v>
      </c>
      <c r="AS152" s="227">
        <v>27.152727272727201</v>
      </c>
      <c r="AT152" s="228">
        <f>ROUND((AS152-AR152)/(AS137-AR137),4)</f>
        <v>6.8999999999999999E-3</v>
      </c>
      <c r="AU152" s="229">
        <f>ROUND(AR152-AR137*AT152,2)</f>
        <v>9.23</v>
      </c>
    </row>
    <row r="153" spans="1:48" ht="15" thickBot="1">
      <c r="O153" s="237"/>
      <c r="P153" s="6"/>
      <c r="Q153" s="6"/>
      <c r="R153" s="238"/>
      <c r="S153" s="239"/>
      <c r="T153" s="6"/>
      <c r="U153" s="6"/>
      <c r="V153" s="238"/>
      <c r="W153" s="239"/>
      <c r="X153" s="6"/>
      <c r="Y153" s="6"/>
      <c r="Z153" s="238"/>
      <c r="AA153" s="239"/>
      <c r="AB153" s="6"/>
      <c r="AC153" s="6"/>
      <c r="AD153" s="238"/>
      <c r="AE153" s="239"/>
      <c r="AF153" s="6"/>
      <c r="AG153" s="6"/>
      <c r="AH153" s="238"/>
      <c r="AI153" s="239"/>
      <c r="AJ153" s="6"/>
      <c r="AK153" s="6"/>
      <c r="AL153" s="238"/>
      <c r="AM153" s="239"/>
      <c r="AN153" s="6"/>
      <c r="AO153" s="6"/>
      <c r="AP153" s="238"/>
      <c r="AQ153" s="239"/>
      <c r="AR153" s="6"/>
      <c r="AS153" s="6"/>
      <c r="AT153" s="238"/>
      <c r="AU153" s="239"/>
      <c r="AV153" s="225"/>
    </row>
    <row r="154" spans="1:48" ht="15" thickBot="1">
      <c r="E154" s="163"/>
      <c r="F154" s="596" t="s">
        <v>244</v>
      </c>
      <c r="G154" s="597"/>
      <c r="H154" s="597" t="s">
        <v>245</v>
      </c>
      <c r="I154" s="597"/>
      <c r="J154" s="597" t="s">
        <v>246</v>
      </c>
      <c r="K154" s="597"/>
      <c r="L154" s="597" t="s">
        <v>247</v>
      </c>
      <c r="M154" s="598"/>
      <c r="O154" s="204" t="s">
        <v>258</v>
      </c>
      <c r="P154" s="590" t="s">
        <v>290</v>
      </c>
      <c r="Q154" s="591"/>
      <c r="R154" s="591"/>
      <c r="S154" s="591"/>
      <c r="T154" s="591"/>
      <c r="U154" s="591"/>
      <c r="V154" s="591"/>
      <c r="W154" s="591"/>
      <c r="X154" s="591"/>
      <c r="Y154" s="591"/>
      <c r="Z154" s="591"/>
      <c r="AA154" s="591"/>
      <c r="AB154" s="591"/>
      <c r="AC154" s="591"/>
      <c r="AD154" s="591"/>
      <c r="AE154" s="592"/>
      <c r="AF154" s="590" t="s">
        <v>291</v>
      </c>
      <c r="AG154" s="591"/>
      <c r="AH154" s="591"/>
      <c r="AI154" s="591"/>
      <c r="AJ154" s="591"/>
      <c r="AK154" s="591"/>
      <c r="AL154" s="591"/>
      <c r="AM154" s="591"/>
      <c r="AN154" s="591"/>
      <c r="AO154" s="591"/>
      <c r="AP154" s="591"/>
      <c r="AQ154" s="591"/>
      <c r="AR154" s="591"/>
      <c r="AS154" s="591"/>
      <c r="AT154" s="591"/>
      <c r="AU154" s="592"/>
    </row>
    <row r="155" spans="1:48" ht="15" thickBot="1">
      <c r="E155" s="163"/>
      <c r="F155" s="221" t="s">
        <v>66</v>
      </c>
      <c r="G155" s="222" t="s">
        <v>249</v>
      </c>
      <c r="H155" s="222" t="s">
        <v>66</v>
      </c>
      <c r="I155" s="222" t="s">
        <v>249</v>
      </c>
      <c r="J155" s="222" t="s">
        <v>66</v>
      </c>
      <c r="K155" s="222" t="s">
        <v>249</v>
      </c>
      <c r="L155" s="222" t="s">
        <v>66</v>
      </c>
      <c r="M155" s="223" t="s">
        <v>249</v>
      </c>
      <c r="O155" s="205" t="s">
        <v>251</v>
      </c>
      <c r="P155" s="593" t="s">
        <v>276</v>
      </c>
      <c r="Q155" s="594"/>
      <c r="R155" s="594"/>
      <c r="S155" s="595"/>
      <c r="T155" s="593" t="s">
        <v>277</v>
      </c>
      <c r="U155" s="594"/>
      <c r="V155" s="594"/>
      <c r="W155" s="595"/>
      <c r="X155" s="593" t="s">
        <v>278</v>
      </c>
      <c r="Y155" s="594"/>
      <c r="Z155" s="594"/>
      <c r="AA155" s="595"/>
      <c r="AB155" s="593" t="s">
        <v>279</v>
      </c>
      <c r="AC155" s="594"/>
      <c r="AD155" s="594"/>
      <c r="AE155" s="595"/>
      <c r="AF155" s="593" t="s">
        <v>276</v>
      </c>
      <c r="AG155" s="594"/>
      <c r="AH155" s="594"/>
      <c r="AI155" s="595"/>
      <c r="AJ155" s="593" t="s">
        <v>277</v>
      </c>
      <c r="AK155" s="594"/>
      <c r="AL155" s="594"/>
      <c r="AM155" s="595"/>
      <c r="AN155" s="593" t="s">
        <v>278</v>
      </c>
      <c r="AO155" s="594"/>
      <c r="AP155" s="594"/>
      <c r="AQ155" s="595"/>
      <c r="AR155" s="593" t="s">
        <v>279</v>
      </c>
      <c r="AS155" s="594"/>
      <c r="AT155" s="594"/>
      <c r="AU155" s="595"/>
    </row>
    <row r="156" spans="1:48" ht="15" thickBot="1">
      <c r="A156" t="s">
        <v>248</v>
      </c>
      <c r="B156" s="163" t="e">
        <f>Задача_Расход</f>
        <v>#REF!</v>
      </c>
      <c r="D156" s="133">
        <v>1</v>
      </c>
      <c r="E156" s="133">
        <v>-40</v>
      </c>
      <c r="F156" s="220">
        <f>INDEX($R157:$AU171,$D156,1+VLOOKUP($B157,$B$351:$E$368,4,FALSE))</f>
        <v>9.7999999999999997E-3</v>
      </c>
      <c r="G156" s="220">
        <f>INDEX($R157:$AU171,$D156,2+VLOOKUP($B157,$B$351:$E$368,4,FALSE))</f>
        <v>17.03</v>
      </c>
      <c r="H156" s="220">
        <f>INDEX($R157:$AU171,$D156,5+VLOOKUP($B157,$B$351:$E$368,4,FALSE))</f>
        <v>1.06E-2</v>
      </c>
      <c r="I156" s="220">
        <f>INDEX($R157:$AU171,$D156,6+VLOOKUP($B157,$B$351:$E$368,4,FALSE))</f>
        <v>19.350000000000001</v>
      </c>
      <c r="J156" s="220">
        <f>INDEX($R157:$AU171,$D156,9+VLOOKUP($B157,$B$351:$E$368,4,FALSE))</f>
        <v>1.06E-2</v>
      </c>
      <c r="K156" s="220">
        <f>INDEX($R157:$AU171,$D156,10+VLOOKUP($B157,$B$351:$E$368,4,FALSE))</f>
        <v>19.88</v>
      </c>
      <c r="L156" s="220">
        <f>INDEX($R157:$AU171,$D156,13+VLOOKUP($B157,$B$351:$E$368,4,FALSE))</f>
        <v>1.09E-2</v>
      </c>
      <c r="M156" s="220">
        <f>INDEX($R157:$AU171,$D156,14+VLOOKUP($B157,$B$351:$E$368,4,FALSE))</f>
        <v>20.39</v>
      </c>
      <c r="O156" s="206" t="s">
        <v>248</v>
      </c>
      <c r="P156" s="207">
        <v>2300</v>
      </c>
      <c r="Q156" s="208">
        <v>3000</v>
      </c>
      <c r="R156" s="208"/>
      <c r="S156" s="209"/>
      <c r="T156" s="207">
        <v>2300</v>
      </c>
      <c r="U156" s="208">
        <v>3000</v>
      </c>
      <c r="V156" s="208"/>
      <c r="W156" s="209"/>
      <c r="X156" s="207">
        <v>2300</v>
      </c>
      <c r="Y156" s="208">
        <v>3000</v>
      </c>
      <c r="Z156" s="208"/>
      <c r="AA156" s="209"/>
      <c r="AB156" s="207">
        <v>2300</v>
      </c>
      <c r="AC156" s="208">
        <v>3000</v>
      </c>
      <c r="AD156" s="208"/>
      <c r="AE156" s="209"/>
      <c r="AF156" s="207">
        <v>2300</v>
      </c>
      <c r="AG156" s="208">
        <v>3000</v>
      </c>
      <c r="AH156" s="208"/>
      <c r="AI156" s="209"/>
      <c r="AJ156" s="207">
        <v>2300</v>
      </c>
      <c r="AK156" s="208">
        <v>3000</v>
      </c>
      <c r="AL156" s="208"/>
      <c r="AM156" s="209"/>
      <c r="AN156" s="207">
        <v>2300</v>
      </c>
      <c r="AO156" s="208">
        <v>3000</v>
      </c>
      <c r="AP156" s="208"/>
      <c r="AQ156" s="209"/>
      <c r="AR156" s="207">
        <v>2300</v>
      </c>
      <c r="AS156" s="208">
        <v>3000</v>
      </c>
      <c r="AT156" s="208"/>
      <c r="AU156" s="209"/>
    </row>
    <row r="157" spans="1:48">
      <c r="A157" t="s">
        <v>250</v>
      </c>
      <c r="B157" s="163" t="s">
        <v>267</v>
      </c>
      <c r="D157" s="133">
        <v>2</v>
      </c>
      <c r="E157" s="133">
        <v>-35</v>
      </c>
      <c r="F157" s="203">
        <f>INDEX($R157:$AU171,$D157,1+VLOOKUP($B157,$B$351:$E$368,4,FALSE))</f>
        <v>9.2999999999999992E-3</v>
      </c>
      <c r="G157" s="203">
        <f>INDEX($R157:$AU171,$D157,2+VLOOKUP($B157,$B$351:$E$368,4,FALSE))</f>
        <v>16.25</v>
      </c>
      <c r="H157" s="203">
        <f>INDEX($R157:$AU171,$D157,5+VLOOKUP($B157,$B$351:$E$368,4,FALSE))</f>
        <v>1.0200000000000001E-2</v>
      </c>
      <c r="I157" s="203">
        <f>INDEX($R157:$AU171,$D157,6+VLOOKUP($B157,$B$351:$E$368,4,FALSE))</f>
        <v>18.34</v>
      </c>
      <c r="J157" s="203">
        <f>INDEX($R157:$AU171,$D157,9+VLOOKUP($B157,$B$351:$E$368,4,FALSE))</f>
        <v>1.0200000000000001E-2</v>
      </c>
      <c r="K157" s="203">
        <f>INDEX($R157:$AU171,$D157,10+VLOOKUP($B157,$B$351:$E$368,4,FALSE))</f>
        <v>18.850000000000001</v>
      </c>
      <c r="L157" s="203">
        <f>INDEX($R157:$AU171,$D157,13+VLOOKUP($B157,$B$351:$E$368,4,FALSE))</f>
        <v>1.0500000000000001E-2</v>
      </c>
      <c r="M157" s="203">
        <f>INDEX($R157:$AU171,$D157,14+VLOOKUP($B157,$B$351:$E$368,4,FALSE))</f>
        <v>19.37</v>
      </c>
      <c r="O157" s="210">
        <v>-40</v>
      </c>
      <c r="P157" s="211">
        <v>39.5654545454545</v>
      </c>
      <c r="Q157" s="212">
        <v>46.412727272727302</v>
      </c>
      <c r="R157" s="203">
        <f>ROUND((Q157-P157)/(Q156-P156),4)</f>
        <v>9.7999999999999997E-3</v>
      </c>
      <c r="S157" s="217">
        <f>ROUND(P157-P156*R157,2)</f>
        <v>17.03</v>
      </c>
      <c r="T157" s="211">
        <v>43.732727272727303</v>
      </c>
      <c r="U157" s="212">
        <v>51.181818181818201</v>
      </c>
      <c r="V157" s="203">
        <f>ROUND((U157-T157)/(U156-T156),4)</f>
        <v>1.06E-2</v>
      </c>
      <c r="W157" s="217">
        <f>ROUND(T157-T156*V157,2)</f>
        <v>19.350000000000001</v>
      </c>
      <c r="X157" s="211">
        <v>44.259393939394002</v>
      </c>
      <c r="Y157" s="212">
        <v>51.7127272727273</v>
      </c>
      <c r="Z157" s="203">
        <f>ROUND((Y157-X157)/(Y156-X156),4)</f>
        <v>1.06E-2</v>
      </c>
      <c r="AA157" s="217">
        <f>ROUND(X157-X156*Z157,2)</f>
        <v>19.88</v>
      </c>
      <c r="AB157" s="211">
        <v>45.46</v>
      </c>
      <c r="AC157" s="212">
        <v>53.122424242424202</v>
      </c>
      <c r="AD157" s="203">
        <f>ROUND((AC157-AB157)/(AC156-AB156),4)</f>
        <v>1.09E-2</v>
      </c>
      <c r="AE157" s="217">
        <f>ROUND(AB157-AB156*AD157,2)</f>
        <v>20.39</v>
      </c>
      <c r="AF157" s="211">
        <v>53.243030303030302</v>
      </c>
      <c r="AG157" s="212">
        <v>63.548484848484897</v>
      </c>
      <c r="AH157" s="203">
        <f>ROUND((AG157-AF157)/(AG156-AF156),4)</f>
        <v>1.47E-2</v>
      </c>
      <c r="AI157" s="217">
        <f>ROUND(AF157-AF156*AH157,2)</f>
        <v>19.43</v>
      </c>
      <c r="AJ157" s="211">
        <v>58.552727272727303</v>
      </c>
      <c r="AK157" s="212">
        <v>69.835151515151495</v>
      </c>
      <c r="AL157" s="203">
        <f>ROUND((AK157-AJ157)/(AK156-AJ156),4)</f>
        <v>1.61E-2</v>
      </c>
      <c r="AM157" s="217">
        <f>ROUND(AJ157-AJ156*AL157,2)</f>
        <v>21.52</v>
      </c>
      <c r="AN157" s="211">
        <v>59.454545454545503</v>
      </c>
      <c r="AO157" s="212">
        <v>70.854545454545502</v>
      </c>
      <c r="AP157" s="203">
        <f>ROUND((AO157-AN157)/(AO156-AN156),4)</f>
        <v>1.6299999999999999E-2</v>
      </c>
      <c r="AQ157" s="217">
        <f>ROUND(AN157-AN156*AP157,2)</f>
        <v>21.96</v>
      </c>
      <c r="AR157" s="211">
        <v>62.306060606060598</v>
      </c>
      <c r="AS157" s="212">
        <v>74.0357575757576</v>
      </c>
      <c r="AT157" s="203">
        <f>ROUND((AS157-AR157)/(AS156-AR156),4)</f>
        <v>1.6799999999999999E-2</v>
      </c>
      <c r="AU157" s="217">
        <f>ROUND(AR157-AR156*AT157,2)</f>
        <v>23.67</v>
      </c>
    </row>
    <row r="158" spans="1:48">
      <c r="A158" t="s">
        <v>251</v>
      </c>
      <c r="B158" s="163" t="e">
        <f>Задача_НагревательТеплоноситель</f>
        <v>#REF!</v>
      </c>
      <c r="D158" s="133">
        <v>3</v>
      </c>
      <c r="E158" s="133">
        <v>-30</v>
      </c>
      <c r="F158" s="203">
        <f>INDEX($R157:$AU171,$D158,1+VLOOKUP($B157,$B$351:$E$368,4,FALSE))</f>
        <v>8.8999999999999999E-3</v>
      </c>
      <c r="G158" s="203">
        <f>INDEX($R157:$AU171,$D158,2+VLOOKUP($B157,$B$351:$E$368,4,FALSE))</f>
        <v>15.23</v>
      </c>
      <c r="H158" s="203">
        <f>INDEX($R157:$AU171,$D158,5+VLOOKUP($B157,$B$351:$E$368,4,FALSE))</f>
        <v>9.9000000000000008E-3</v>
      </c>
      <c r="I158" s="203">
        <f>INDEX($R157:$AU171,$D158,6+VLOOKUP($B157,$B$351:$E$368,4,FALSE))</f>
        <v>17.13</v>
      </c>
      <c r="J158" s="203">
        <f>INDEX($R157:$AU171,$D158,9+VLOOKUP($B157,$B$351:$E$368,4,FALSE))</f>
        <v>9.4000000000000004E-3</v>
      </c>
      <c r="K158" s="203">
        <f>INDEX($R157:$AU171,$D158,10+VLOOKUP($B157,$B$351:$E$368,4,FALSE))</f>
        <v>18.98</v>
      </c>
      <c r="L158" s="203">
        <f>INDEX($R157:$AU171,$D158,13+VLOOKUP($B157,$B$351:$E$368,4,FALSE))</f>
        <v>0.01</v>
      </c>
      <c r="M158" s="203">
        <f>INDEX($R157:$AU171,$D158,14+VLOOKUP($B157,$B$351:$E$368,4,FALSE))</f>
        <v>18.600000000000001</v>
      </c>
      <c r="O158" s="215">
        <v>-35</v>
      </c>
      <c r="P158" s="211">
        <v>37.64</v>
      </c>
      <c r="Q158" s="212">
        <v>44.14</v>
      </c>
      <c r="R158" s="203">
        <f>ROUND((Q158-P158)/(Q156-P156),4)</f>
        <v>9.2999999999999992E-3</v>
      </c>
      <c r="S158" s="217">
        <f>ROUND(P158-P156*R158,2)</f>
        <v>16.25</v>
      </c>
      <c r="T158" s="211">
        <v>41.8</v>
      </c>
      <c r="U158" s="212">
        <v>48.92</v>
      </c>
      <c r="V158" s="203">
        <f>ROUND((U158-T158)/(U156-T156),4)</f>
        <v>1.0200000000000001E-2</v>
      </c>
      <c r="W158" s="217">
        <f>ROUND(T158-T156*V158,2)</f>
        <v>18.34</v>
      </c>
      <c r="X158" s="211">
        <v>42.313333333333297</v>
      </c>
      <c r="Y158" s="212">
        <v>49.44</v>
      </c>
      <c r="Z158" s="203">
        <f>ROUND((Y158-X158)/(Y156-X156),4)</f>
        <v>1.0200000000000001E-2</v>
      </c>
      <c r="AA158" s="217">
        <f>ROUND(X158-X156*Z158,2)</f>
        <v>18.850000000000001</v>
      </c>
      <c r="AB158" s="211">
        <v>43.52</v>
      </c>
      <c r="AC158" s="214">
        <v>50.8466666666667</v>
      </c>
      <c r="AD158" s="203">
        <f>ROUND((AC158-AB158)/(AC156-AB156),4)</f>
        <v>1.0500000000000001E-2</v>
      </c>
      <c r="AE158" s="217">
        <f>ROUND(AB158-AB156*AD158,2)</f>
        <v>19.37</v>
      </c>
      <c r="AF158" s="211">
        <v>50.733333333333299</v>
      </c>
      <c r="AG158" s="212">
        <v>60.533333333333402</v>
      </c>
      <c r="AH158" s="203">
        <f>ROUND((AG158-AF158)/(AG156-AF156),4)</f>
        <v>1.4E-2</v>
      </c>
      <c r="AI158" s="217">
        <f>ROUND(AF158-AF156*AH158,2)</f>
        <v>18.53</v>
      </c>
      <c r="AJ158" s="211">
        <v>56.04</v>
      </c>
      <c r="AK158" s="212">
        <v>66.826666666666696</v>
      </c>
      <c r="AL158" s="203">
        <f>ROUND((AK158-AJ158)/(AK156-AJ156),4)</f>
        <v>1.54E-2</v>
      </c>
      <c r="AM158" s="217">
        <f>ROUND(AJ158-AJ156*AL158,2)</f>
        <v>20.62</v>
      </c>
      <c r="AN158" s="211">
        <v>56.94</v>
      </c>
      <c r="AO158" s="212">
        <v>67.84</v>
      </c>
      <c r="AP158" s="203">
        <f>ROUND((AO158-AN158)/(AO156-AN156),4)</f>
        <v>1.5599999999999999E-2</v>
      </c>
      <c r="AQ158" s="217">
        <f>ROUND(AN158-AN156*AP158,2)</f>
        <v>21.06</v>
      </c>
      <c r="AR158" s="211">
        <v>59.766666666666701</v>
      </c>
      <c r="AS158" s="212">
        <v>70.993333333333297</v>
      </c>
      <c r="AT158" s="203">
        <f>ROUND((AS158-AR158)/(AS156-AR156),4)</f>
        <v>1.6E-2</v>
      </c>
      <c r="AU158" s="217">
        <f>ROUND(AR158-AR156*AT158,2)</f>
        <v>22.97</v>
      </c>
    </row>
    <row r="159" spans="1:48">
      <c r="A159" t="s">
        <v>253</v>
      </c>
      <c r="B159" s="163" t="e">
        <f>VLOOKUP("600x350",ПП_Расчет!C$10:F$19,4,0)</f>
        <v>#REF!</v>
      </c>
      <c r="D159" s="133">
        <v>4</v>
      </c>
      <c r="E159" s="133">
        <v>-25</v>
      </c>
      <c r="F159" s="203">
        <f>INDEX($R157:$AU171,$D159,1+VLOOKUP($B157,$B$351:$E$368,4,FALSE))</f>
        <v>8.3000000000000001E-3</v>
      </c>
      <c r="G159" s="203">
        <f>INDEX($R157:$AU171,$D159,2+VLOOKUP($B157,$B$351:$E$368,4,FALSE))</f>
        <v>14.71</v>
      </c>
      <c r="H159" s="203">
        <f>INDEX($R157:$AU171,$D159,5+VLOOKUP($B157,$B$351:$E$368,4,FALSE))</f>
        <v>9.4000000000000004E-3</v>
      </c>
      <c r="I159" s="203">
        <f>INDEX($R157:$AU171,$D159,6+VLOOKUP($B157,$B$351:$E$368,4,FALSE))</f>
        <v>16.28</v>
      </c>
      <c r="J159" s="203">
        <f>INDEX($R157:$AU171,$D159,9+VLOOKUP($B157,$B$351:$E$368,4,FALSE))</f>
        <v>9.4000000000000004E-3</v>
      </c>
      <c r="K159" s="203">
        <f>INDEX($R157:$AU171,$D159,10+VLOOKUP($B157,$B$351:$E$368,4,FALSE))</f>
        <v>16.68</v>
      </c>
      <c r="L159" s="203">
        <f>INDEX($R157:$AU171,$D159,13+VLOOKUP($B157,$B$351:$E$368,4,FALSE))</f>
        <v>9.5999999999999992E-3</v>
      </c>
      <c r="M159" s="203">
        <f>INDEX($R157:$AU171,$D159,14+VLOOKUP($B157,$B$351:$E$368,4,FALSE))</f>
        <v>17.52</v>
      </c>
      <c r="O159" s="215">
        <v>-30</v>
      </c>
      <c r="P159" s="211">
        <v>35.700000000000003</v>
      </c>
      <c r="Q159" s="212">
        <v>41.9</v>
      </c>
      <c r="R159" s="203">
        <f>ROUND((Q159-P159)/(Q156-P156),4)</f>
        <v>8.8999999999999999E-3</v>
      </c>
      <c r="S159" s="217">
        <f>ROUND(P159-P156*R159,2)</f>
        <v>15.23</v>
      </c>
      <c r="T159" s="211">
        <v>39.9</v>
      </c>
      <c r="U159" s="212">
        <v>46.8</v>
      </c>
      <c r="V159" s="203">
        <f>ROUND((U159-T159)/(U156-T156),4)</f>
        <v>9.9000000000000008E-3</v>
      </c>
      <c r="W159" s="217">
        <f>ROUND(T159-T156*V159,2)</f>
        <v>17.13</v>
      </c>
      <c r="X159" s="211">
        <v>40.6</v>
      </c>
      <c r="Y159" s="212">
        <v>47.2</v>
      </c>
      <c r="Z159" s="203">
        <f>ROUND((Y159-X159)/(Y156-X156),4)</f>
        <v>9.4000000000000004E-3</v>
      </c>
      <c r="AA159" s="217">
        <f>ROUND(X159-X156*Z159,2)</f>
        <v>18.98</v>
      </c>
      <c r="AB159" s="211">
        <v>41.6</v>
      </c>
      <c r="AC159" s="212">
        <v>48.6</v>
      </c>
      <c r="AD159" s="203">
        <f>ROUND((AC159-AB159)/(AC156-AB156),4)</f>
        <v>0.01</v>
      </c>
      <c r="AE159" s="217">
        <f>ROUND(AB159-AB156*AD159,2)</f>
        <v>18.600000000000001</v>
      </c>
      <c r="AF159" s="211">
        <v>48.2</v>
      </c>
      <c r="AG159" s="212">
        <v>57.5</v>
      </c>
      <c r="AH159" s="203">
        <f>ROUND((AG159-AF159)/(AG156-AF156),4)</f>
        <v>1.3299999999999999E-2</v>
      </c>
      <c r="AI159" s="217">
        <f>ROUND(AF159-AF156*AH159,2)</f>
        <v>17.61</v>
      </c>
      <c r="AJ159" s="211">
        <v>53.5</v>
      </c>
      <c r="AK159" s="212">
        <v>63.8</v>
      </c>
      <c r="AL159" s="203">
        <f>ROUND((AK159-AJ159)/(AK156-AJ156),4)</f>
        <v>1.47E-2</v>
      </c>
      <c r="AM159" s="217">
        <f>ROUND(AJ159-AJ156*AL159,2)</f>
        <v>19.690000000000001</v>
      </c>
      <c r="AN159" s="211">
        <v>54.4</v>
      </c>
      <c r="AO159" s="212">
        <v>64.8</v>
      </c>
      <c r="AP159" s="203">
        <f>ROUND((AO159-AN159)/(AO156-AN156),4)</f>
        <v>1.49E-2</v>
      </c>
      <c r="AQ159" s="217">
        <f>ROUND(AN159-AN156*AP159,2)</f>
        <v>20.13</v>
      </c>
      <c r="AR159" s="211">
        <v>57.2</v>
      </c>
      <c r="AS159" s="212">
        <v>67.900000000000006</v>
      </c>
      <c r="AT159" s="203">
        <f>ROUND((AS159-AR159)/(AS156-AR156),4)</f>
        <v>1.5299999999999999E-2</v>
      </c>
      <c r="AU159" s="217">
        <f>ROUND(AR159-AR156*AT159,2)</f>
        <v>22.01</v>
      </c>
    </row>
    <row r="160" spans="1:48">
      <c r="D160" s="133">
        <v>5</v>
      </c>
      <c r="E160" s="133">
        <v>-20</v>
      </c>
      <c r="F160" s="203">
        <f>INDEX($R157:$AU171,$D160,1+VLOOKUP($B157,$B$351:$E$368,4,FALSE))</f>
        <v>7.7000000000000002E-3</v>
      </c>
      <c r="G160" s="203">
        <f>INDEX($R157:$AU171,$D160,2+VLOOKUP($B157,$B$351:$E$368,4,FALSE))</f>
        <v>14.19</v>
      </c>
      <c r="H160" s="203">
        <f>INDEX($R157:$AU171,$D160,5+VLOOKUP($B157,$B$351:$E$368,4,FALSE))</f>
        <v>8.8999999999999999E-3</v>
      </c>
      <c r="I160" s="203">
        <f>INDEX($R157:$AU171,$D160,6+VLOOKUP($B157,$B$351:$E$368,4,FALSE))</f>
        <v>15.53</v>
      </c>
      <c r="J160" s="203">
        <f>INDEX($R157:$AU171,$D160,9+VLOOKUP($B157,$B$351:$E$368,4,FALSE))</f>
        <v>8.8999999999999999E-3</v>
      </c>
      <c r="K160" s="203">
        <f>INDEX($R157:$AU171,$D160,10+VLOOKUP($B157,$B$351:$E$368,4,FALSE))</f>
        <v>15.93</v>
      </c>
      <c r="L160" s="203">
        <f>INDEX($R157:$AU171,$D160,13+VLOOKUP($B157,$B$351:$E$368,4,FALSE))</f>
        <v>8.9999999999999993E-3</v>
      </c>
      <c r="M160" s="203">
        <f>INDEX($R157:$AU171,$D160,14+VLOOKUP($B157,$B$351:$E$368,4,FALSE))</f>
        <v>17</v>
      </c>
      <c r="O160" s="215">
        <v>-25</v>
      </c>
      <c r="P160" s="211">
        <v>33.799999999999997</v>
      </c>
      <c r="Q160" s="212">
        <v>39.6</v>
      </c>
      <c r="R160" s="203">
        <f>ROUND((Q160-P160)/(Q156-P156),4)</f>
        <v>8.3000000000000001E-3</v>
      </c>
      <c r="S160" s="217">
        <f>ROUND(P160-P156*R160,2)</f>
        <v>14.71</v>
      </c>
      <c r="T160" s="211">
        <v>37.9</v>
      </c>
      <c r="U160" s="212">
        <v>44.5</v>
      </c>
      <c r="V160" s="203">
        <f>ROUND((U160-T160)/(U156-T156),4)</f>
        <v>9.4000000000000004E-3</v>
      </c>
      <c r="W160" s="217">
        <f>ROUND(T160-T156*V160,2)</f>
        <v>16.28</v>
      </c>
      <c r="X160" s="211">
        <v>38.299999999999997</v>
      </c>
      <c r="Y160" s="212">
        <v>44.9</v>
      </c>
      <c r="Z160" s="203">
        <f>ROUND((Y160-X160)/(Y156-X156),4)</f>
        <v>9.4000000000000004E-3</v>
      </c>
      <c r="AA160" s="217">
        <f>ROUND(X160-X156*Z160,2)</f>
        <v>16.68</v>
      </c>
      <c r="AB160" s="211">
        <v>39.6</v>
      </c>
      <c r="AC160" s="212">
        <v>46.3</v>
      </c>
      <c r="AD160" s="203">
        <f>ROUND((AC160-AB160)/(AC156-AB156),4)</f>
        <v>9.5999999999999992E-3</v>
      </c>
      <c r="AE160" s="217">
        <f>ROUND(AB160-AB156*AD160,2)</f>
        <v>17.52</v>
      </c>
      <c r="AF160" s="211">
        <v>45.7</v>
      </c>
      <c r="AG160" s="212">
        <v>54.5</v>
      </c>
      <c r="AH160" s="203">
        <f>ROUND((AG160-AF160)/(AG156-AF156),4)</f>
        <v>1.26E-2</v>
      </c>
      <c r="AI160" s="217">
        <f>ROUND(AF160-AF156*AH160,2)</f>
        <v>16.72</v>
      </c>
      <c r="AJ160" s="211">
        <v>51</v>
      </c>
      <c r="AK160" s="212">
        <v>60.8</v>
      </c>
      <c r="AL160" s="203">
        <f>ROUND((AK160-AJ160)/(AK156-AJ156),4)</f>
        <v>1.4E-2</v>
      </c>
      <c r="AM160" s="217">
        <f>ROUND(AJ160-AJ156*AL160,2)</f>
        <v>18.8</v>
      </c>
      <c r="AN160" s="211">
        <v>51.9</v>
      </c>
      <c r="AO160" s="212">
        <v>61.8</v>
      </c>
      <c r="AP160" s="203">
        <f>ROUND((AO160-AN160)/(AO156-AN156),4)</f>
        <v>1.41E-2</v>
      </c>
      <c r="AQ160" s="217">
        <f>ROUND(AN160-AN156*AP160,2)</f>
        <v>19.47</v>
      </c>
      <c r="AR160" s="211">
        <v>54.7</v>
      </c>
      <c r="AS160" s="212">
        <v>64.900000000000006</v>
      </c>
      <c r="AT160" s="203">
        <f>ROUND((AS160-AR160)/(AS156-AR156),4)</f>
        <v>1.46E-2</v>
      </c>
      <c r="AU160" s="217">
        <f>ROUND(AR160-AR156*AT160,2)</f>
        <v>21.12</v>
      </c>
    </row>
    <row r="161" spans="1:47">
      <c r="A161" t="s">
        <v>66</v>
      </c>
      <c r="B161" s="163" t="e">
        <f>VLOOKUP(B159,E156:M170,VLOOKUP(B158,B$345:D$348,2,FALSE))</f>
        <v>#REF!</v>
      </c>
      <c r="D161" s="133">
        <v>6</v>
      </c>
      <c r="E161" s="133">
        <v>-15</v>
      </c>
      <c r="F161" s="203">
        <f>INDEX($R157:$AU171,$D161,1+VLOOKUP($B157,$B$351:$E$368,4,FALSE))</f>
        <v>7.3000000000000001E-3</v>
      </c>
      <c r="G161" s="203">
        <f>INDEX($R157:$AU171,$D161,2+VLOOKUP($B157,$B$351:$E$368,4,FALSE))</f>
        <v>13.11</v>
      </c>
      <c r="H161" s="203">
        <f>INDEX($R157:$AU171,$D161,5+VLOOKUP($B157,$B$351:$E$368,4,FALSE))</f>
        <v>7.4000000000000003E-3</v>
      </c>
      <c r="I161" s="203">
        <f>INDEX($R157:$AU171,$D161,6+VLOOKUP($B157,$B$351:$E$368,4,FALSE))</f>
        <v>17.079999999999998</v>
      </c>
      <c r="J161" s="203">
        <f>INDEX($R157:$AU171,$D161,9+VLOOKUP($B157,$B$351:$E$368,4,FALSE))</f>
        <v>8.3000000000000001E-3</v>
      </c>
      <c r="K161" s="203">
        <f>INDEX($R157:$AU171,$D161,10+VLOOKUP($B157,$B$351:$E$368,4,FALSE))</f>
        <v>15.41</v>
      </c>
      <c r="L161" s="203">
        <f>INDEX($R157:$AU171,$D161,13+VLOOKUP($B157,$B$351:$E$368,4,FALSE))</f>
        <v>8.3999999999999995E-3</v>
      </c>
      <c r="M161" s="203">
        <f>INDEX($R157:$AU171,$D161,14+VLOOKUP($B157,$B$351:$E$368,4,FALSE))</f>
        <v>16.48</v>
      </c>
      <c r="O161" s="215">
        <v>-20</v>
      </c>
      <c r="P161" s="211">
        <v>31.9</v>
      </c>
      <c r="Q161" s="212">
        <v>37.299999999999997</v>
      </c>
      <c r="R161" s="203">
        <f>ROUND((Q161-P161)/(Q156-P156),4)</f>
        <v>7.7000000000000002E-3</v>
      </c>
      <c r="S161" s="217">
        <f>ROUND(P161-P156*R161,2)</f>
        <v>14.19</v>
      </c>
      <c r="T161" s="211">
        <v>36</v>
      </c>
      <c r="U161" s="212">
        <v>42.2</v>
      </c>
      <c r="V161" s="203">
        <f>ROUND((U161-T161)/(U156-T156),4)</f>
        <v>8.8999999999999999E-3</v>
      </c>
      <c r="W161" s="217">
        <f>ROUND(T161-T156*V161,2)</f>
        <v>15.53</v>
      </c>
      <c r="X161" s="211">
        <v>36.4</v>
      </c>
      <c r="Y161" s="212">
        <v>42.6</v>
      </c>
      <c r="Z161" s="203">
        <f>ROUND((Y161-X161)/(Y156-X156),4)</f>
        <v>8.8999999999999999E-3</v>
      </c>
      <c r="AA161" s="217">
        <f>ROUND(X161-X156*Z161,2)</f>
        <v>15.93</v>
      </c>
      <c r="AB161" s="211">
        <v>37.700000000000003</v>
      </c>
      <c r="AC161" s="214">
        <v>44</v>
      </c>
      <c r="AD161" s="203">
        <f>ROUND((AC161-AB161)/(AC156-AB156),4)</f>
        <v>8.9999999999999993E-3</v>
      </c>
      <c r="AE161" s="217">
        <f>ROUND(AB161-AB156*AD161,2)</f>
        <v>17</v>
      </c>
      <c r="AF161" s="211">
        <v>43.2</v>
      </c>
      <c r="AG161" s="212">
        <v>51.5</v>
      </c>
      <c r="AH161" s="203">
        <f>ROUND((AG161-AF161)/(AG156-AF156),4)</f>
        <v>1.1900000000000001E-2</v>
      </c>
      <c r="AI161" s="217">
        <f>ROUND(AF161-AF156*AH161,2)</f>
        <v>15.83</v>
      </c>
      <c r="AJ161" s="211">
        <v>48.5</v>
      </c>
      <c r="AK161" s="212">
        <v>57.8</v>
      </c>
      <c r="AL161" s="203">
        <f>ROUND((AK161-AJ161)/(AK156-AJ156),4)</f>
        <v>1.3299999999999999E-2</v>
      </c>
      <c r="AM161" s="217">
        <f>ROUND(AJ161-AJ156*AL161,2)</f>
        <v>17.91</v>
      </c>
      <c r="AN161" s="211">
        <v>49.4</v>
      </c>
      <c r="AO161" s="212">
        <v>58.8</v>
      </c>
      <c r="AP161" s="203">
        <f>ROUND((AO161-AN161)/(AO156-AN156),4)</f>
        <v>1.34E-2</v>
      </c>
      <c r="AQ161" s="217">
        <f>ROUND(AN161-AN156*AP161,2)</f>
        <v>18.579999999999998</v>
      </c>
      <c r="AR161" s="211">
        <v>52.1</v>
      </c>
      <c r="AS161" s="212">
        <v>61.9</v>
      </c>
      <c r="AT161" s="203">
        <f>ROUND((AS161-AR161)/(AS156-AR156),4)</f>
        <v>1.4E-2</v>
      </c>
      <c r="AU161" s="217">
        <f>ROUND(AR161-AR156*AT161,2)</f>
        <v>19.899999999999999</v>
      </c>
    </row>
    <row r="162" spans="1:47">
      <c r="A162" t="s">
        <v>249</v>
      </c>
      <c r="B162" s="163" t="e">
        <f>VLOOKUP(B159,E156:M170,VLOOKUP(B158,B$345:D$348,3,FALSE))</f>
        <v>#REF!</v>
      </c>
      <c r="D162" s="133">
        <v>7</v>
      </c>
      <c r="E162" s="133">
        <v>-10</v>
      </c>
      <c r="F162" s="203">
        <f>INDEX($R157:$AU171,$D162,1+VLOOKUP($B157,$B$351:$E$368,4,FALSE))</f>
        <v>6.8999999999999999E-3</v>
      </c>
      <c r="G162" s="203">
        <f>INDEX($R157:$AU171,$D162,2+VLOOKUP($B157,$B$351:$E$368,4,FALSE))</f>
        <v>12.13</v>
      </c>
      <c r="H162" s="203">
        <f>INDEX($R157:$AU171,$D162,5+VLOOKUP($B157,$B$351:$E$368,4,FALSE))</f>
        <v>8.0000000000000002E-3</v>
      </c>
      <c r="I162" s="203">
        <f>INDEX($R157:$AU171,$D162,6+VLOOKUP($B157,$B$351:$E$368,4,FALSE))</f>
        <v>13.7</v>
      </c>
      <c r="J162" s="203">
        <f>INDEX($R157:$AU171,$D162,9+VLOOKUP($B157,$B$351:$E$368,4,FALSE))</f>
        <v>8.0000000000000002E-3</v>
      </c>
      <c r="K162" s="203">
        <f>INDEX($R157:$AU171,$D162,10+VLOOKUP($B157,$B$351:$E$368,4,FALSE))</f>
        <v>14.1</v>
      </c>
      <c r="L162" s="203">
        <f>INDEX($R157:$AU171,$D162,13+VLOOKUP($B157,$B$351:$E$368,4,FALSE))</f>
        <v>8.0999999999999996E-3</v>
      </c>
      <c r="M162" s="203">
        <f>INDEX($R157:$AU171,$D162,14+VLOOKUP($B157,$B$351:$E$368,4,FALSE))</f>
        <v>15.17</v>
      </c>
      <c r="O162" s="215">
        <v>-15</v>
      </c>
      <c r="P162" s="211">
        <v>29.9</v>
      </c>
      <c r="Q162" s="212">
        <v>35</v>
      </c>
      <c r="R162" s="203">
        <f>ROUND((Q162-P162)/(Q156-P156),4)</f>
        <v>7.3000000000000001E-3</v>
      </c>
      <c r="S162" s="217">
        <f>ROUND(P162-P156*R162,2)</f>
        <v>13.11</v>
      </c>
      <c r="T162" s="211">
        <v>34.1</v>
      </c>
      <c r="U162" s="212">
        <v>39.299999999999997</v>
      </c>
      <c r="V162" s="203">
        <f>ROUND((U162-T162)/(U156-T156),4)</f>
        <v>7.4000000000000003E-3</v>
      </c>
      <c r="W162" s="217">
        <f>ROUND(T162-T156*V162,2)</f>
        <v>17.079999999999998</v>
      </c>
      <c r="X162" s="211">
        <v>34.5</v>
      </c>
      <c r="Y162" s="212">
        <v>40.299999999999997</v>
      </c>
      <c r="Z162" s="203">
        <f>ROUND((Y162-X162)/(Y156-X156),4)</f>
        <v>8.3000000000000001E-3</v>
      </c>
      <c r="AA162" s="217">
        <f>ROUND(X162-X156*Z162,2)</f>
        <v>15.41</v>
      </c>
      <c r="AB162" s="211">
        <v>35.799999999999997</v>
      </c>
      <c r="AC162" s="212">
        <v>41.7</v>
      </c>
      <c r="AD162" s="203">
        <f>ROUND((AC162-AB162)/(AC156-AB156),4)</f>
        <v>8.3999999999999995E-3</v>
      </c>
      <c r="AE162" s="217">
        <f>ROUND(AB162-AB156*AD162,2)</f>
        <v>16.48</v>
      </c>
      <c r="AF162" s="211">
        <v>40.700000000000003</v>
      </c>
      <c r="AG162" s="212">
        <v>48.5</v>
      </c>
      <c r="AH162" s="203">
        <f>ROUND((AG162-AF162)/(AG156-AF156),4)</f>
        <v>1.11E-2</v>
      </c>
      <c r="AI162" s="217">
        <f>ROUND(AF162-AF156*AH162,2)</f>
        <v>15.17</v>
      </c>
      <c r="AJ162" s="211">
        <v>46</v>
      </c>
      <c r="AK162" s="212">
        <v>54.8</v>
      </c>
      <c r="AL162" s="203">
        <f>ROUND((AK162-AJ162)/(AK156-AJ156),4)</f>
        <v>1.26E-2</v>
      </c>
      <c r="AM162" s="217">
        <f>ROUND(AJ162-AJ156*AL162,2)</f>
        <v>17.02</v>
      </c>
      <c r="AN162" s="211">
        <v>46.9</v>
      </c>
      <c r="AO162" s="212">
        <v>55.8</v>
      </c>
      <c r="AP162" s="203">
        <f>ROUND((AO162-AN162)/(AO156-AN156),4)</f>
        <v>1.2699999999999999E-2</v>
      </c>
      <c r="AQ162" s="217">
        <f>ROUND(AN162-AN156*AP162,2)</f>
        <v>17.690000000000001</v>
      </c>
      <c r="AR162" s="211">
        <v>49.6</v>
      </c>
      <c r="AS162" s="212">
        <v>58.8</v>
      </c>
      <c r="AT162" s="203">
        <f>ROUND((AS162-AR162)/(AS156-AR156),4)</f>
        <v>1.3100000000000001E-2</v>
      </c>
      <c r="AU162" s="217">
        <f>ROUND(AR162-AR156*AT162,2)</f>
        <v>19.47</v>
      </c>
    </row>
    <row r="163" spans="1:47">
      <c r="D163" s="133">
        <v>8</v>
      </c>
      <c r="E163" s="133">
        <v>-5</v>
      </c>
      <c r="F163" s="203">
        <f>INDEX($R157:$AU171,$D163,1+VLOOKUP($B157,$B$351:$E$368,4,FALSE))</f>
        <v>6.3E-3</v>
      </c>
      <c r="G163" s="203">
        <f>INDEX($R157:$AU171,$D163,2+VLOOKUP($B157,$B$351:$E$368,4,FALSE))</f>
        <v>11.61</v>
      </c>
      <c r="H163" s="203">
        <f>INDEX($R157:$AU171,$D163,5+VLOOKUP($B157,$B$351:$E$368,4,FALSE))</f>
        <v>7.4000000000000003E-3</v>
      </c>
      <c r="I163" s="203">
        <f>INDEX($R157:$AU171,$D163,6+VLOOKUP($B157,$B$351:$E$368,4,FALSE))</f>
        <v>13.18</v>
      </c>
      <c r="J163" s="203">
        <f>INDEX($R157:$AU171,$D163,9+VLOOKUP($B157,$B$351:$E$368,4,FALSE))</f>
        <v>7.4000000000000003E-3</v>
      </c>
      <c r="K163" s="203">
        <f>INDEX($R157:$AU171,$D163,10+VLOOKUP($B157,$B$351:$E$368,4,FALSE))</f>
        <v>13.58</v>
      </c>
      <c r="L163" s="203">
        <f>INDEX($R157:$AU171,$D163,13+VLOOKUP($B157,$B$351:$E$368,4,FALSE))</f>
        <v>7.6E-3</v>
      </c>
      <c r="M163" s="203">
        <f>INDEX($R157:$AU171,$D163,14+VLOOKUP($B157,$B$351:$E$368,4,FALSE))</f>
        <v>14.42</v>
      </c>
      <c r="O163" s="215">
        <v>-10</v>
      </c>
      <c r="P163" s="211">
        <v>28</v>
      </c>
      <c r="Q163" s="212">
        <v>32.799999999999997</v>
      </c>
      <c r="R163" s="203">
        <f>ROUND((Q163-P163)/(Q156-P156),4)</f>
        <v>6.8999999999999999E-3</v>
      </c>
      <c r="S163" s="217">
        <f>ROUND(P163-P156*R163,2)</f>
        <v>12.13</v>
      </c>
      <c r="T163" s="211">
        <v>32.1</v>
      </c>
      <c r="U163" s="212">
        <v>37.700000000000003</v>
      </c>
      <c r="V163" s="203">
        <f>ROUND((U163-T163)/(U156-T156),4)</f>
        <v>8.0000000000000002E-3</v>
      </c>
      <c r="W163" s="217">
        <f>ROUND(T163-T156*V163,2)</f>
        <v>13.7</v>
      </c>
      <c r="X163" s="211">
        <v>32.5</v>
      </c>
      <c r="Y163" s="212">
        <v>38.1</v>
      </c>
      <c r="Z163" s="203">
        <f>ROUND((Y163-X163)/(Y156-X156),4)</f>
        <v>8.0000000000000002E-3</v>
      </c>
      <c r="AA163" s="217">
        <f>ROUND(X163-X156*Z163,2)</f>
        <v>14.1</v>
      </c>
      <c r="AB163" s="211">
        <v>33.799999999999997</v>
      </c>
      <c r="AC163" s="212">
        <v>39.5</v>
      </c>
      <c r="AD163" s="203">
        <f>ROUND((AC163-AB163)/(AC156-AB156),4)</f>
        <v>8.0999999999999996E-3</v>
      </c>
      <c r="AE163" s="217">
        <f>ROUND(AB163-AB156*AD163,2)</f>
        <v>15.17</v>
      </c>
      <c r="AF163" s="211">
        <v>38.200000000000003</v>
      </c>
      <c r="AG163" s="212">
        <v>45.5</v>
      </c>
      <c r="AH163" s="203">
        <f>ROUND((AG163-AF163)/(AG156-AF156),4)</f>
        <v>1.04E-2</v>
      </c>
      <c r="AI163" s="217">
        <f>ROUND(AF163-AF156*AH163,2)</f>
        <v>14.28</v>
      </c>
      <c r="AJ163" s="211">
        <v>43.5</v>
      </c>
      <c r="AK163" s="212">
        <v>51.8</v>
      </c>
      <c r="AL163" s="203">
        <f>ROUND((AK163-AJ163)/(AK156-AJ156),4)</f>
        <v>1.1900000000000001E-2</v>
      </c>
      <c r="AM163" s="217">
        <f>ROUND(AJ163-AJ156*AL163,2)</f>
        <v>16.13</v>
      </c>
      <c r="AN163" s="211">
        <v>44.4</v>
      </c>
      <c r="AO163" s="212">
        <v>52.8</v>
      </c>
      <c r="AP163" s="203">
        <f>ROUND((AO163-AN163)/(AO156-AN156),4)</f>
        <v>1.2E-2</v>
      </c>
      <c r="AQ163" s="217">
        <f>ROUND(AN163-AN156*AP163,2)</f>
        <v>16.8</v>
      </c>
      <c r="AR163" s="211">
        <v>47.1</v>
      </c>
      <c r="AS163" s="212">
        <v>55.8</v>
      </c>
      <c r="AT163" s="203">
        <f>ROUND((AS163-AR163)/(AS156-AR156),4)</f>
        <v>1.24E-2</v>
      </c>
      <c r="AU163" s="217">
        <f>ROUND(AR163-AR156*AT163,2)</f>
        <v>18.579999999999998</v>
      </c>
    </row>
    <row r="164" spans="1:47">
      <c r="A164" t="s">
        <v>254</v>
      </c>
      <c r="B164" s="163" t="e">
        <f>B156*B161+B162</f>
        <v>#REF!</v>
      </c>
      <c r="D164" s="133">
        <v>9</v>
      </c>
      <c r="E164" s="133">
        <v>0</v>
      </c>
      <c r="F164" s="203">
        <f>INDEX($R157:$AU171,$D164,1+VLOOKUP($B157,$B$351:$E$368,4,FALSE))</f>
        <v>5.7000000000000002E-3</v>
      </c>
      <c r="G164" s="203">
        <f>INDEX($R157:$AU171,$D164,2+VLOOKUP($B157,$B$351:$E$368,4,FALSE))</f>
        <v>11.09</v>
      </c>
      <c r="H164" s="203">
        <f>INDEX($R157:$AU171,$D164,5+VLOOKUP($B157,$B$351:$E$368,4,FALSE))</f>
        <v>6.8999999999999999E-3</v>
      </c>
      <c r="I164" s="203">
        <f>INDEX($R157:$AU171,$D164,6+VLOOKUP($B157,$B$351:$E$368,4,FALSE))</f>
        <v>12.43</v>
      </c>
      <c r="J164" s="203">
        <f>INDEX($R157:$AU171,$D164,9+VLOOKUP($B157,$B$351:$E$368,4,FALSE))</f>
        <v>6.8999999999999999E-3</v>
      </c>
      <c r="K164" s="203">
        <f>INDEX($R157:$AU171,$D164,10+VLOOKUP($B157,$B$351:$E$368,4,FALSE))</f>
        <v>12.83</v>
      </c>
      <c r="L164" s="203">
        <f>INDEX($R157:$AU171,$D164,13+VLOOKUP($B157,$B$351:$E$368,4,FALSE))</f>
        <v>7.1000000000000004E-3</v>
      </c>
      <c r="M164" s="203">
        <f>INDEX($R157:$AU171,$D164,14+VLOOKUP($B157,$B$351:$E$368,4,FALSE))</f>
        <v>13.57</v>
      </c>
      <c r="O164" s="215">
        <v>-5</v>
      </c>
      <c r="P164" s="211">
        <v>26.1</v>
      </c>
      <c r="Q164" s="212">
        <v>30.5</v>
      </c>
      <c r="R164" s="203">
        <f>ROUND((Q164-P164)/(Q156-P156),4)</f>
        <v>6.3E-3</v>
      </c>
      <c r="S164" s="217">
        <f>ROUND(P164-P156*R164,2)</f>
        <v>11.61</v>
      </c>
      <c r="T164" s="211">
        <v>30.2</v>
      </c>
      <c r="U164" s="212">
        <v>35.4</v>
      </c>
      <c r="V164" s="203">
        <f>ROUND((U164-T164)/(U156-T156),4)</f>
        <v>7.4000000000000003E-3</v>
      </c>
      <c r="W164" s="217">
        <f>ROUND(T164-T156*V164,2)</f>
        <v>13.18</v>
      </c>
      <c r="X164" s="211">
        <v>30.6</v>
      </c>
      <c r="Y164" s="212">
        <v>35.799999999999997</v>
      </c>
      <c r="Z164" s="203">
        <f>ROUND((Y164-X164)/(Y156-X156),4)</f>
        <v>7.4000000000000003E-3</v>
      </c>
      <c r="AA164" s="217">
        <f>ROUND(X164-X156*Z164,2)</f>
        <v>13.58</v>
      </c>
      <c r="AB164" s="211">
        <v>31.9</v>
      </c>
      <c r="AC164" s="212">
        <v>37.200000000000003</v>
      </c>
      <c r="AD164" s="203">
        <f>ROUND((AC164-AB164)/(AC156-AB156),4)</f>
        <v>7.6E-3</v>
      </c>
      <c r="AE164" s="217">
        <f>ROUND(AB164-AB156*AD164,2)</f>
        <v>14.42</v>
      </c>
      <c r="AF164" s="211">
        <v>35.700000000000003</v>
      </c>
      <c r="AG164" s="212">
        <v>42.4</v>
      </c>
      <c r="AH164" s="203">
        <f>ROUND((AG164-AF164)/(AG156-AF156),4)</f>
        <v>9.5999999999999992E-3</v>
      </c>
      <c r="AI164" s="217">
        <f>ROUND(AF164-AF156*AH164,2)</f>
        <v>13.62</v>
      </c>
      <c r="AJ164" s="211">
        <v>41</v>
      </c>
      <c r="AK164" s="212">
        <v>48.8</v>
      </c>
      <c r="AL164" s="203">
        <f>ROUND((AK164-AJ164)/(AK156-AJ156),4)</f>
        <v>1.11E-2</v>
      </c>
      <c r="AM164" s="217">
        <f>ROUND(AJ164-AJ156*AL164,2)</f>
        <v>15.47</v>
      </c>
      <c r="AN164" s="211">
        <v>41.9</v>
      </c>
      <c r="AO164" s="212">
        <v>49.8</v>
      </c>
      <c r="AP164" s="203">
        <f>ROUND((AO164-AN164)/(AO156-AN156),4)</f>
        <v>1.1299999999999999E-2</v>
      </c>
      <c r="AQ164" s="217">
        <f>ROUND(AN164-AN156*AP164,2)</f>
        <v>15.91</v>
      </c>
      <c r="AR164" s="211">
        <v>44.6</v>
      </c>
      <c r="AS164" s="212">
        <v>52.8</v>
      </c>
      <c r="AT164" s="203">
        <f>ROUND((AS164-AR164)/(AS156-AR156),4)</f>
        <v>1.17E-2</v>
      </c>
      <c r="AU164" s="217">
        <f>ROUND(AR164-AR156*AT164,2)</f>
        <v>17.690000000000001</v>
      </c>
    </row>
    <row r="165" spans="1:47">
      <c r="A165" t="s">
        <v>255</v>
      </c>
      <c r="B165" s="163" t="e">
        <f>ROUND(B164/(0.000335*B156),1)+B159</f>
        <v>#REF!</v>
      </c>
      <c r="D165" s="133">
        <v>10</v>
      </c>
      <c r="E165" s="133">
        <v>5</v>
      </c>
      <c r="F165" s="203">
        <f>INDEX($R157:$AU171,$D165,1+VLOOKUP($B157,$B$351:$E$368,4,FALSE))</f>
        <v>5.4000000000000003E-3</v>
      </c>
      <c r="G165" s="203">
        <f>INDEX($R157:$AU171,$D165,2+VLOOKUP($B157,$B$351:$E$368,4,FALSE))</f>
        <v>9.7799999999999994</v>
      </c>
      <c r="H165" s="203">
        <f>INDEX($R157:$AU171,$D165,5+VLOOKUP($B157,$B$351:$E$368,4,FALSE))</f>
        <v>6.6E-3</v>
      </c>
      <c r="I165" s="203">
        <f>INDEX($R157:$AU171,$D165,6+VLOOKUP($B157,$B$351:$E$368,4,FALSE))</f>
        <v>11.12</v>
      </c>
      <c r="J165" s="203">
        <f>INDEX($R157:$AU171,$D165,9+VLOOKUP($B157,$B$351:$E$368,4,FALSE))</f>
        <v>6.4000000000000003E-3</v>
      </c>
      <c r="K165" s="203">
        <f>INDEX($R157:$AU171,$D165,10+VLOOKUP($B157,$B$351:$E$368,4,FALSE))</f>
        <v>12.08</v>
      </c>
      <c r="L165" s="203">
        <f>INDEX($R157:$AU171,$D165,13+VLOOKUP($B157,$B$351:$E$368,4,FALSE))</f>
        <v>6.6E-3</v>
      </c>
      <c r="M165" s="203">
        <f>INDEX($R157:$AU171,$D165,14+VLOOKUP($B157,$B$351:$E$368,4,FALSE))</f>
        <v>12.82</v>
      </c>
      <c r="O165" s="215">
        <v>0</v>
      </c>
      <c r="P165" s="211">
        <v>24.2</v>
      </c>
      <c r="Q165" s="212">
        <v>28.2</v>
      </c>
      <c r="R165" s="203">
        <f>ROUND((Q165-P165)/(Q156-P156),4)</f>
        <v>5.7000000000000002E-3</v>
      </c>
      <c r="S165" s="217">
        <f>ROUND(P165-P156*R165,2)</f>
        <v>11.09</v>
      </c>
      <c r="T165" s="211">
        <v>28.3</v>
      </c>
      <c r="U165" s="212">
        <v>33.1</v>
      </c>
      <c r="V165" s="203">
        <f>ROUND((U165-T165)/(U156-T156),4)</f>
        <v>6.8999999999999999E-3</v>
      </c>
      <c r="W165" s="217">
        <f>ROUND(T165-T156*V165,2)</f>
        <v>12.43</v>
      </c>
      <c r="X165" s="211">
        <v>28.7</v>
      </c>
      <c r="Y165" s="212">
        <v>33.5</v>
      </c>
      <c r="Z165" s="203">
        <f>ROUND((Y165-X165)/(Y156-X156),4)</f>
        <v>6.8999999999999999E-3</v>
      </c>
      <c r="AA165" s="217">
        <f>ROUND(X165-X156*Z165,2)</f>
        <v>12.83</v>
      </c>
      <c r="AB165" s="211">
        <v>29.9</v>
      </c>
      <c r="AC165" s="212">
        <v>34.9</v>
      </c>
      <c r="AD165" s="203">
        <f>ROUND((AC165-AB165)/(AC156-AB156),4)</f>
        <v>7.1000000000000004E-3</v>
      </c>
      <c r="AE165" s="217">
        <f>ROUND(AB165-AB156*AD165,2)</f>
        <v>13.57</v>
      </c>
      <c r="AF165" s="211">
        <v>33.200000000000003</v>
      </c>
      <c r="AG165" s="212">
        <v>39.4</v>
      </c>
      <c r="AH165" s="203">
        <f>ROUND((AG165-AF165)/(AG156-AF156),4)</f>
        <v>8.8999999999999999E-3</v>
      </c>
      <c r="AI165" s="217">
        <f>ROUND(AF165-AF156*AH165,2)</f>
        <v>12.73</v>
      </c>
      <c r="AJ165" s="211">
        <v>38.5</v>
      </c>
      <c r="AK165" s="212">
        <v>45.8</v>
      </c>
      <c r="AL165" s="203">
        <f>ROUND((AK165-AJ165)/(AK156-AJ156),4)</f>
        <v>1.04E-2</v>
      </c>
      <c r="AM165" s="217">
        <f>ROUND(AJ165-AJ156*AL165,2)</f>
        <v>14.58</v>
      </c>
      <c r="AN165" s="211">
        <v>39.299999999999997</v>
      </c>
      <c r="AO165" s="212">
        <v>46.7</v>
      </c>
      <c r="AP165" s="203">
        <f>ROUND((AO165-AN165)/(AO156-AN156),4)</f>
        <v>1.06E-2</v>
      </c>
      <c r="AQ165" s="217">
        <f>ROUND(AN165-AN156*AP165,2)</f>
        <v>14.92</v>
      </c>
      <c r="AR165" s="211">
        <v>42</v>
      </c>
      <c r="AS165" s="212">
        <v>49.7</v>
      </c>
      <c r="AT165" s="203">
        <f>ROUND((AS165-AR165)/(AS156-AR156),4)</f>
        <v>1.0999999999999999E-2</v>
      </c>
      <c r="AU165" s="217">
        <f>ROUND(AR165-AR156*AT165,2)</f>
        <v>16.7</v>
      </c>
    </row>
    <row r="166" spans="1:47">
      <c r="D166" s="133">
        <v>11</v>
      </c>
      <c r="E166" s="133">
        <v>10</v>
      </c>
      <c r="F166" s="203">
        <f>INDEX($R157:$AU171,$D166,1+VLOOKUP($B157,$B$351:$E$368,4,FALSE))</f>
        <v>4.8999999999999998E-3</v>
      </c>
      <c r="G166" s="203">
        <f>INDEX($R157:$AU171,$D166,2+VLOOKUP($B157,$B$351:$E$368,4,FALSE))</f>
        <v>9.0299999999999994</v>
      </c>
      <c r="H166" s="203">
        <f>INDEX($R157:$AU171,$D166,5+VLOOKUP($B157,$B$351:$E$368,4,FALSE))</f>
        <v>6.0000000000000001E-3</v>
      </c>
      <c r="I166" s="203">
        <f>INDEX($R157:$AU171,$D166,6+VLOOKUP($B157,$B$351:$E$368,4,FALSE))</f>
        <v>10.6</v>
      </c>
      <c r="J166" s="203">
        <f>INDEX($R157:$AU171,$D166,9+VLOOKUP($B157,$B$351:$E$368,4,FALSE))</f>
        <v>6.0000000000000001E-3</v>
      </c>
      <c r="K166" s="203">
        <f>INDEX($R157:$AU171,$D166,10+VLOOKUP($B157,$B$351:$E$368,4,FALSE))</f>
        <v>11</v>
      </c>
      <c r="L166" s="203">
        <f>INDEX($R157:$AU171,$D166,13+VLOOKUP($B157,$B$351:$E$368,4,FALSE))</f>
        <v>6.1000000000000004E-3</v>
      </c>
      <c r="M166" s="203">
        <f>INDEX($R157:$AU171,$D166,14+VLOOKUP($B157,$B$351:$E$368,4,FALSE))</f>
        <v>12.07</v>
      </c>
      <c r="O166" s="215">
        <v>5</v>
      </c>
      <c r="P166" s="211">
        <v>22.2</v>
      </c>
      <c r="Q166" s="212">
        <v>26</v>
      </c>
      <c r="R166" s="203">
        <f>ROUND((Q166-P166)/(Q156-P156),4)</f>
        <v>5.4000000000000003E-3</v>
      </c>
      <c r="S166" s="217">
        <f>ROUND(P166-P156*R166,2)</f>
        <v>9.7799999999999994</v>
      </c>
      <c r="T166" s="211">
        <v>26.3</v>
      </c>
      <c r="U166" s="212">
        <v>30.9</v>
      </c>
      <c r="V166" s="203">
        <f>ROUND((U166-T166)/(U156-T156),4)</f>
        <v>6.6E-3</v>
      </c>
      <c r="W166" s="217">
        <f>ROUND(T166-T156*V166,2)</f>
        <v>11.12</v>
      </c>
      <c r="X166" s="211">
        <v>26.8</v>
      </c>
      <c r="Y166" s="212">
        <v>31.3</v>
      </c>
      <c r="Z166" s="203">
        <f>ROUND((Y166-X166)/(Y156-X156),4)</f>
        <v>6.4000000000000003E-3</v>
      </c>
      <c r="AA166" s="217">
        <f>ROUND(X166-X156*Z166,2)</f>
        <v>12.08</v>
      </c>
      <c r="AB166" s="211">
        <v>28</v>
      </c>
      <c r="AC166" s="212">
        <v>32.6</v>
      </c>
      <c r="AD166" s="203">
        <f>ROUND((AC166-AB166)/(AC156-AB156),4)</f>
        <v>6.6E-3</v>
      </c>
      <c r="AE166" s="217">
        <f>ROUND(AB166-AB156*AD166,2)</f>
        <v>12.82</v>
      </c>
      <c r="AF166" s="211">
        <v>30.7</v>
      </c>
      <c r="AG166" s="212">
        <v>36.4</v>
      </c>
      <c r="AH166" s="203">
        <f>ROUND((AG166-AF166)/(AG156-AF156),4)</f>
        <v>8.0999999999999996E-3</v>
      </c>
      <c r="AI166" s="217">
        <f>ROUND(AF166-AF156*AH166,2)</f>
        <v>12.07</v>
      </c>
      <c r="AJ166" s="211">
        <v>35.9</v>
      </c>
      <c r="AK166" s="212">
        <v>42.7</v>
      </c>
      <c r="AL166" s="203">
        <f>ROUND((AK166-AJ166)/(AK156-AJ156),4)</f>
        <v>9.7000000000000003E-3</v>
      </c>
      <c r="AM166" s="217">
        <f>ROUND(AJ166-AJ156*AL166,2)</f>
        <v>13.59</v>
      </c>
      <c r="AN166" s="211">
        <v>36.799999999999997</v>
      </c>
      <c r="AO166" s="212">
        <v>43.7</v>
      </c>
      <c r="AP166" s="203">
        <f>ROUND((AO166-AN166)/(AO156-AN156),4)</f>
        <v>9.9000000000000008E-3</v>
      </c>
      <c r="AQ166" s="217">
        <f>ROUND(AN166-AN156*AP166,2)</f>
        <v>14.03</v>
      </c>
      <c r="AR166" s="211">
        <v>39.5</v>
      </c>
      <c r="AS166" s="212">
        <v>46.7</v>
      </c>
      <c r="AT166" s="203">
        <f>ROUND((AS166-AR166)/(AS156-AR156),4)</f>
        <v>1.03E-2</v>
      </c>
      <c r="AU166" s="217">
        <f>ROUND(AR166-AR156*AT166,2)</f>
        <v>15.81</v>
      </c>
    </row>
    <row r="167" spans="1:47">
      <c r="A167" t="s">
        <v>256</v>
      </c>
      <c r="B167" s="163" t="e">
        <f>ROUND(B164/(4183*VLOOKUP(B158,B$345:E$348,4,FALSE))*3600,2)</f>
        <v>#REF!</v>
      </c>
      <c r="D167" s="133">
        <v>12</v>
      </c>
      <c r="E167" s="133">
        <v>15</v>
      </c>
      <c r="F167" s="203">
        <f>INDEX($R157:$AU171,$D167,1+VLOOKUP($B157,$B$351:$E$368,4,FALSE))</f>
        <v>4.3E-3</v>
      </c>
      <c r="G167" s="203">
        <f>INDEX($R157:$AU171,$D167,2+VLOOKUP($B157,$B$351:$E$368,4,FALSE))</f>
        <v>8.51</v>
      </c>
      <c r="H167" s="203">
        <f>INDEX($R157:$AU171,$D167,5+VLOOKUP($B157,$B$351:$E$368,4,FALSE))</f>
        <v>5.4000000000000003E-3</v>
      </c>
      <c r="I167" s="203">
        <f>INDEX($R157:$AU171,$D167,6+VLOOKUP($B157,$B$351:$E$368,4,FALSE))</f>
        <v>10.08</v>
      </c>
      <c r="J167" s="203">
        <f>INDEX($R157:$AU171,$D167,9+VLOOKUP($B157,$B$351:$E$368,4,FALSE))</f>
        <v>5.4000000000000003E-3</v>
      </c>
      <c r="K167" s="203">
        <f>INDEX($R157:$AU171,$D167,10+VLOOKUP($B157,$B$351:$E$368,4,FALSE))</f>
        <v>10.48</v>
      </c>
      <c r="L167" s="203">
        <f>INDEX($R157:$AU171,$D167,13+VLOOKUP($B157,$B$351:$E$368,4,FALSE))</f>
        <v>5.7000000000000002E-3</v>
      </c>
      <c r="M167" s="203">
        <f>INDEX($R157:$AU171,$D167,14+VLOOKUP($B157,$B$351:$E$368,4,FALSE))</f>
        <v>10.99</v>
      </c>
      <c r="O167" s="215">
        <v>10</v>
      </c>
      <c r="P167" s="211">
        <v>20.3</v>
      </c>
      <c r="Q167" s="212">
        <v>23.7</v>
      </c>
      <c r="R167" s="203">
        <f>ROUND((Q167-P167)/(Q156-P156),4)</f>
        <v>4.8999999999999998E-3</v>
      </c>
      <c r="S167" s="217">
        <f>ROUND(P167-P156*R167,2)</f>
        <v>9.0299999999999994</v>
      </c>
      <c r="T167" s="211">
        <v>24.4</v>
      </c>
      <c r="U167" s="212">
        <v>28.6</v>
      </c>
      <c r="V167" s="203">
        <f>ROUND((U167-T167)/(U156-T156),4)</f>
        <v>6.0000000000000001E-3</v>
      </c>
      <c r="W167" s="217">
        <f>ROUND(T167-T156*V167,2)</f>
        <v>10.6</v>
      </c>
      <c r="X167" s="211">
        <v>24.8</v>
      </c>
      <c r="Y167" s="212">
        <v>29</v>
      </c>
      <c r="Z167" s="203">
        <f>ROUND((Y167-X167)/(Y156-X156),4)</f>
        <v>6.0000000000000001E-3</v>
      </c>
      <c r="AA167" s="217">
        <f>ROUND(X167-X156*Z167,2)</f>
        <v>11</v>
      </c>
      <c r="AB167" s="211">
        <v>26.1</v>
      </c>
      <c r="AC167" s="212">
        <v>30.4</v>
      </c>
      <c r="AD167" s="203">
        <f>ROUND((AC167-AB167)/(AC156-AB156),4)</f>
        <v>6.1000000000000004E-3</v>
      </c>
      <c r="AE167" s="217">
        <f>ROUND(AB167-AB156*AD167,2)</f>
        <v>12.07</v>
      </c>
      <c r="AF167" s="211">
        <v>28.1</v>
      </c>
      <c r="AG167" s="212">
        <v>33.4</v>
      </c>
      <c r="AH167" s="203">
        <f>ROUND((AG167-AF167)/(AG156-AF156),4)</f>
        <v>7.6E-3</v>
      </c>
      <c r="AI167" s="217">
        <f>ROUND(AF167-AF156*AH167,2)</f>
        <v>10.62</v>
      </c>
      <c r="AJ167" s="211">
        <v>33.4</v>
      </c>
      <c r="AK167" s="212">
        <v>39.799999999999997</v>
      </c>
      <c r="AL167" s="203">
        <f>ROUND((AK167-AJ167)/(AK156-AJ156),4)</f>
        <v>9.1000000000000004E-3</v>
      </c>
      <c r="AM167" s="217">
        <f>ROUND(AJ167-AJ156*AL167,2)</f>
        <v>12.47</v>
      </c>
      <c r="AN167" s="211">
        <v>34.299999999999997</v>
      </c>
      <c r="AO167" s="212">
        <v>40.700000000000003</v>
      </c>
      <c r="AP167" s="203">
        <f>ROUND((AO167-AN167)/(AO156-AN156),4)</f>
        <v>9.1000000000000004E-3</v>
      </c>
      <c r="AQ167" s="217">
        <f>ROUND(AN167-AN156*AP167,2)</f>
        <v>13.37</v>
      </c>
      <c r="AR167" s="211">
        <v>36.9</v>
      </c>
      <c r="AS167" s="212">
        <v>43.6</v>
      </c>
      <c r="AT167" s="203">
        <f>ROUND((AS167-AR167)/(AS156-AR156),4)</f>
        <v>9.5999999999999992E-3</v>
      </c>
      <c r="AU167" s="217">
        <f>ROUND(AR167-AR156*AT167,2)</f>
        <v>14.82</v>
      </c>
    </row>
    <row r="168" spans="1:47">
      <c r="A168" t="s">
        <v>257</v>
      </c>
      <c r="B168" s="163" t="e">
        <f>ROUND(100*POWER(B167/VLOOKUP(B157,B$351:C$368,2,FALSE),2),1)</f>
        <v>#REF!</v>
      </c>
      <c r="D168" s="133">
        <v>13</v>
      </c>
      <c r="E168" s="133">
        <v>20</v>
      </c>
      <c r="F168" s="203">
        <f>INDEX($R157:$AU171,$D168,1+VLOOKUP($B157,$B$351:$E$368,4,FALSE))</f>
        <v>3.8E-3</v>
      </c>
      <c r="G168" s="203">
        <f>INDEX($R157:$AU171,$D168,2+VLOOKUP($B157,$B$351:$E$368,4,FALSE))</f>
        <v>7.72</v>
      </c>
      <c r="H168" s="203">
        <f>INDEX($R157:$AU171,$D168,5+VLOOKUP($B157,$B$351:$E$368,4,FALSE))</f>
        <v>5.0000000000000001E-3</v>
      </c>
      <c r="I168" s="203">
        <f>INDEX($R157:$AU171,$D168,6+VLOOKUP($B157,$B$351:$E$368,4,FALSE))</f>
        <v>9.0399999999999991</v>
      </c>
      <c r="J168" s="203">
        <f>INDEX($R157:$AU171,$D168,9+VLOOKUP($B157,$B$351:$E$368,4,FALSE))</f>
        <v>5.0000000000000001E-3</v>
      </c>
      <c r="K168" s="203">
        <f>INDEX($R157:$AU171,$D168,10+VLOOKUP($B157,$B$351:$E$368,4,FALSE))</f>
        <v>9.41</v>
      </c>
      <c r="L168" s="203">
        <f>INDEX($R157:$AU171,$D168,13+VLOOKUP($B157,$B$351:$E$368,4,FALSE))</f>
        <v>5.1999999999999998E-3</v>
      </c>
      <c r="M168" s="203">
        <f>INDEX($R157:$AU171,$D168,14+VLOOKUP($B157,$B$351:$E$368,4,FALSE))</f>
        <v>10.220000000000001</v>
      </c>
      <c r="O168" s="215">
        <v>15</v>
      </c>
      <c r="P168" s="211">
        <v>18.399999999999999</v>
      </c>
      <c r="Q168" s="212">
        <v>21.4</v>
      </c>
      <c r="R168" s="203">
        <f>ROUND((Q168-P168)/(Q156-P156),4)</f>
        <v>4.3E-3</v>
      </c>
      <c r="S168" s="217">
        <f>ROUND(P168-P156*R168,2)</f>
        <v>8.51</v>
      </c>
      <c r="T168" s="211">
        <v>22.5</v>
      </c>
      <c r="U168" s="212">
        <v>26.3</v>
      </c>
      <c r="V168" s="203">
        <f>ROUND((U168-T168)/(U156-T156),4)</f>
        <v>5.4000000000000003E-3</v>
      </c>
      <c r="W168" s="217">
        <f>ROUND(T168-T156*V168,2)</f>
        <v>10.08</v>
      </c>
      <c r="X168" s="211">
        <v>22.9</v>
      </c>
      <c r="Y168" s="212">
        <v>26.7</v>
      </c>
      <c r="Z168" s="203">
        <f>ROUND((Y168-X168)/(Y156-X156),4)</f>
        <v>5.4000000000000003E-3</v>
      </c>
      <c r="AA168" s="217">
        <f>ROUND(X168-X156*Z168,2)</f>
        <v>10.48</v>
      </c>
      <c r="AB168" s="211">
        <v>24.1</v>
      </c>
      <c r="AC168" s="212">
        <v>28.1</v>
      </c>
      <c r="AD168" s="203">
        <f>ROUND((AC168-AB168)/(AC156-AB156),4)</f>
        <v>5.7000000000000002E-3</v>
      </c>
      <c r="AE168" s="217">
        <f>ROUND(AB168-AB156*AD168,2)</f>
        <v>10.99</v>
      </c>
      <c r="AF168" s="211">
        <v>25.6</v>
      </c>
      <c r="AG168" s="212">
        <v>30.4</v>
      </c>
      <c r="AH168" s="203">
        <f>ROUND((AG168-AF168)/(AG156-AF156),4)</f>
        <v>6.8999999999999999E-3</v>
      </c>
      <c r="AI168" s="217">
        <f>ROUND(AF168-AF156*AH168,2)</f>
        <v>9.73</v>
      </c>
      <c r="AJ168" s="211">
        <v>30.9</v>
      </c>
      <c r="AK168" s="212">
        <v>36.700000000000003</v>
      </c>
      <c r="AL168" s="203">
        <f>ROUND((AK168-AJ168)/(AK156-AJ156),4)</f>
        <v>8.3000000000000001E-3</v>
      </c>
      <c r="AM168" s="217">
        <f>ROUND(AJ168-AJ156*AL168,2)</f>
        <v>11.81</v>
      </c>
      <c r="AN168" s="211">
        <v>31.8</v>
      </c>
      <c r="AO168" s="212">
        <v>37.700000000000003</v>
      </c>
      <c r="AP168" s="203">
        <f>ROUND((AO168-AN168)/(AO156-AN156),4)</f>
        <v>8.3999999999999995E-3</v>
      </c>
      <c r="AQ168" s="217">
        <f>ROUND(AN168-AN156*AP168,2)</f>
        <v>12.48</v>
      </c>
      <c r="AR168" s="211">
        <v>34.299999999999997</v>
      </c>
      <c r="AS168" s="212">
        <v>40.5</v>
      </c>
      <c r="AT168" s="203">
        <f>ROUND((AS168-AR168)/(AS156-AR156),4)</f>
        <v>8.8999999999999999E-3</v>
      </c>
      <c r="AU168" s="217">
        <f>ROUND(AR168-AR156*AT168,2)</f>
        <v>13.83</v>
      </c>
    </row>
    <row r="169" spans="1:47">
      <c r="D169" s="133">
        <v>14</v>
      </c>
      <c r="E169" s="133">
        <v>25</v>
      </c>
      <c r="F169" s="203">
        <f>INDEX($R157:$AU171,$D169,1+VLOOKUP($B157,$B$351:$E$368,4,FALSE))</f>
        <v>3.3E-3</v>
      </c>
      <c r="G169" s="203">
        <f>INDEX($R157:$AU171,$D169,2+VLOOKUP($B157,$B$351:$E$368,4,FALSE))</f>
        <v>6.94</v>
      </c>
      <c r="H169" s="203">
        <f>INDEX($R157:$AU171,$D169,5+VLOOKUP($B157,$B$351:$E$368,4,FALSE))</f>
        <v>4.4999999999999997E-3</v>
      </c>
      <c r="I169" s="203">
        <f>INDEX($R157:$AU171,$D169,6+VLOOKUP($B157,$B$351:$E$368,4,FALSE))</f>
        <v>8.26</v>
      </c>
      <c r="J169" s="203">
        <f>INDEX($R157:$AU171,$D169,9+VLOOKUP($B157,$B$351:$E$368,4,FALSE))</f>
        <v>4.5999999999999999E-3</v>
      </c>
      <c r="K169" s="203">
        <f>INDEX($R157:$AU171,$D169,10+VLOOKUP($B157,$B$351:$E$368,4,FALSE))</f>
        <v>8.3800000000000008</v>
      </c>
      <c r="L169" s="203">
        <f>INDEX($R157:$AU171,$D169,13+VLOOKUP($B157,$B$351:$E$368,4,FALSE))</f>
        <v>4.7000000000000002E-3</v>
      </c>
      <c r="M169" s="203">
        <f>INDEX($R157:$AU171,$D169,14+VLOOKUP($B157,$B$351:$E$368,4,FALSE))</f>
        <v>9.43</v>
      </c>
      <c r="O169" s="215">
        <v>20</v>
      </c>
      <c r="P169" s="211">
        <v>16.46</v>
      </c>
      <c r="Q169" s="212">
        <v>19.14</v>
      </c>
      <c r="R169" s="203">
        <f>ROUND((Q169-P169)/(Q156-P156),4)</f>
        <v>3.8E-3</v>
      </c>
      <c r="S169" s="217">
        <f>ROUND(P169-P156*R169,2)</f>
        <v>7.72</v>
      </c>
      <c r="T169" s="211">
        <v>20.54</v>
      </c>
      <c r="U169" s="212">
        <v>24.04</v>
      </c>
      <c r="V169" s="203">
        <f>ROUND((U169-T169)/(U156-T156),4)</f>
        <v>5.0000000000000001E-3</v>
      </c>
      <c r="W169" s="217">
        <f>ROUND(T169-T156*V169,2)</f>
        <v>9.0399999999999991</v>
      </c>
      <c r="X169" s="211">
        <v>20.906666666666599</v>
      </c>
      <c r="Y169" s="212">
        <v>24.44</v>
      </c>
      <c r="Z169" s="203">
        <f>ROUND((Y169-X169)/(Y156-X156),4)</f>
        <v>5.0000000000000001E-3</v>
      </c>
      <c r="AA169" s="217">
        <f>ROUND(X169-X156*Z169,2)</f>
        <v>9.41</v>
      </c>
      <c r="AB169" s="211">
        <v>22.18</v>
      </c>
      <c r="AC169" s="212">
        <v>25.813333333333301</v>
      </c>
      <c r="AD169" s="203">
        <f>ROUND((AC169-AB169)/(AC156-AB156),4)</f>
        <v>5.1999999999999998E-3</v>
      </c>
      <c r="AE169" s="217">
        <f>ROUND(AB169-AB156*AD169,2)</f>
        <v>10.220000000000001</v>
      </c>
      <c r="AF169" s="211">
        <v>23.126666666666701</v>
      </c>
      <c r="AG169" s="212">
        <v>27.3666666666666</v>
      </c>
      <c r="AH169" s="203">
        <f>ROUND((AG169-AF169)/(AG156-AF156),4)</f>
        <v>6.1000000000000004E-3</v>
      </c>
      <c r="AI169" s="217">
        <f>ROUND(AF169-AF156*AH169,2)</f>
        <v>9.1</v>
      </c>
      <c r="AJ169" s="211">
        <v>28.4</v>
      </c>
      <c r="AK169" s="212">
        <v>33.733333333333299</v>
      </c>
      <c r="AL169" s="203">
        <f>ROUND((AK169-AJ169)/(AK156-AJ156),4)</f>
        <v>7.6E-3</v>
      </c>
      <c r="AM169" s="217">
        <f>ROUND(AJ169-AJ156*AL169,2)</f>
        <v>10.92</v>
      </c>
      <c r="AN169" s="211">
        <v>29.28</v>
      </c>
      <c r="AO169" s="212">
        <v>34.68</v>
      </c>
      <c r="AP169" s="203">
        <f>ROUND((AO169-AN169)/(AO156-AN156),4)</f>
        <v>7.7000000000000002E-3</v>
      </c>
      <c r="AQ169" s="217">
        <f>ROUND(AN169-AN156*AP169,2)</f>
        <v>11.57</v>
      </c>
      <c r="AR169" s="211">
        <v>31.8333333333333</v>
      </c>
      <c r="AS169" s="212">
        <v>37.526666666666699</v>
      </c>
      <c r="AT169" s="203">
        <f>ROUND((AS169-AR169)/(AS156-AR156),4)</f>
        <v>8.0999999999999996E-3</v>
      </c>
      <c r="AU169" s="217">
        <f>ROUND(AR169-AR156*AT169,2)</f>
        <v>13.2</v>
      </c>
    </row>
    <row r="170" spans="1:47">
      <c r="D170" s="133">
        <v>15</v>
      </c>
      <c r="E170" s="133">
        <v>30</v>
      </c>
      <c r="F170" s="203">
        <f>INDEX($R157:$AU171,$D170,1+VLOOKUP($B157,$B$351:$E$368,4,FALSE))</f>
        <v>2.8E-3</v>
      </c>
      <c r="G170" s="203">
        <f>INDEX($R157:$AU171,$D170,2+VLOOKUP($B157,$B$351:$E$368,4,FALSE))</f>
        <v>6.17</v>
      </c>
      <c r="H170" s="203">
        <f>INDEX($R157:$AU171,$D170,5+VLOOKUP($B157,$B$351:$E$368,4,FALSE))</f>
        <v>4.1000000000000003E-3</v>
      </c>
      <c r="I170" s="203">
        <f>INDEX($R157:$AU171,$D170,6+VLOOKUP($B157,$B$351:$E$368,4,FALSE))</f>
        <v>7.24</v>
      </c>
      <c r="J170" s="203">
        <f>INDEX($R157:$AU171,$D170,9+VLOOKUP($B157,$B$351:$E$368,4,FALSE))</f>
        <v>4.1000000000000003E-3</v>
      </c>
      <c r="K170" s="203">
        <f>INDEX($R157:$AU171,$D170,10+VLOOKUP($B157,$B$351:$E$368,4,FALSE))</f>
        <v>7.58</v>
      </c>
      <c r="L170" s="203">
        <f>INDEX($R157:$AU171,$D170,13+VLOOKUP($B157,$B$351:$E$368,4,FALSE))</f>
        <v>4.1999999999999997E-3</v>
      </c>
      <c r="M170" s="203">
        <f>INDEX($R157:$AU171,$D170,14+VLOOKUP($B157,$B$351:$E$368,4,FALSE))</f>
        <v>8.64</v>
      </c>
      <c r="O170" s="215">
        <v>25</v>
      </c>
      <c r="P170" s="211">
        <v>14.5345454545455</v>
      </c>
      <c r="Q170" s="212">
        <v>16.867272727272699</v>
      </c>
      <c r="R170" s="203">
        <f>ROUND((Q170-P170)/(Q156-P156),4)</f>
        <v>3.3E-3</v>
      </c>
      <c r="S170" s="217">
        <f>ROUND(P170-P156*R170,2)</f>
        <v>6.94</v>
      </c>
      <c r="T170" s="211">
        <v>18.607272727272701</v>
      </c>
      <c r="U170" s="212">
        <v>21.7781818181818</v>
      </c>
      <c r="V170" s="203">
        <f>ROUND((U170-T170)/(U156-T156),4)</f>
        <v>4.4999999999999997E-3</v>
      </c>
      <c r="W170" s="217">
        <f>ROUND(T170-T156*V170,2)</f>
        <v>8.26</v>
      </c>
      <c r="X170" s="211">
        <v>18.960606060606001</v>
      </c>
      <c r="Y170" s="212">
        <v>22.167272727272699</v>
      </c>
      <c r="Z170" s="203">
        <f>ROUND((Y170-X170)/(Y156-X156),4)</f>
        <v>4.5999999999999999E-3</v>
      </c>
      <c r="AA170" s="217">
        <f>ROUND(X170-X156*Z170,2)</f>
        <v>8.3800000000000008</v>
      </c>
      <c r="AB170" s="211">
        <v>20.239999999999998</v>
      </c>
      <c r="AC170" s="212">
        <v>23.537575757575802</v>
      </c>
      <c r="AD170" s="203">
        <f>ROUND((AC170-AB170)/(AC156-AB156),4)</f>
        <v>4.7000000000000002E-3</v>
      </c>
      <c r="AE170" s="217">
        <f>ROUND(AB170-AB156*AD170,2)</f>
        <v>9.43</v>
      </c>
      <c r="AF170" s="211">
        <v>20.616969696969701</v>
      </c>
      <c r="AG170" s="212">
        <v>24.351515151515098</v>
      </c>
      <c r="AH170" s="203">
        <f>ROUND((AG170-AF170)/(AG156-AF156),4)</f>
        <v>5.3E-3</v>
      </c>
      <c r="AI170" s="217">
        <f>ROUND(AF170-AF156*AH170,2)</f>
        <v>8.43</v>
      </c>
      <c r="AJ170" s="211">
        <v>25.887272727272698</v>
      </c>
      <c r="AK170" s="212">
        <v>30.724848484848501</v>
      </c>
      <c r="AL170" s="203">
        <f>ROUND((AK170-AJ170)/(AK156-AJ156),4)</f>
        <v>6.8999999999999999E-3</v>
      </c>
      <c r="AM170" s="217">
        <f>ROUND(AJ170-AJ156*AL170,2)</f>
        <v>10.02</v>
      </c>
      <c r="AN170" s="211">
        <v>26.765454545454499</v>
      </c>
      <c r="AO170" s="212">
        <v>31.665454545454601</v>
      </c>
      <c r="AP170" s="203">
        <f>ROUND((AO170-AN170)/(AO156-AN156),4)</f>
        <v>7.0000000000000001E-3</v>
      </c>
      <c r="AQ170" s="217">
        <f>ROUND(AN170-AN156*AP170,2)</f>
        <v>10.67</v>
      </c>
      <c r="AR170" s="211">
        <v>29.2939393939394</v>
      </c>
      <c r="AS170" s="212">
        <v>34.484242424242403</v>
      </c>
      <c r="AT170" s="203">
        <f>ROUND((AS170-AR170)/(AS156-AR156),4)</f>
        <v>7.4000000000000003E-3</v>
      </c>
      <c r="AU170" s="217">
        <f>ROUND(AR170-AR156*AT170,2)</f>
        <v>12.27</v>
      </c>
    </row>
    <row r="171" spans="1:47" ht="15" thickBot="1">
      <c r="O171" s="216">
        <v>30</v>
      </c>
      <c r="P171" s="226">
        <v>12.609090909091</v>
      </c>
      <c r="Q171" s="227">
        <v>14.594545454545401</v>
      </c>
      <c r="R171" s="228">
        <f>ROUND((Q171-P171)/(Q156-P156),4)</f>
        <v>2.8E-3</v>
      </c>
      <c r="S171" s="229">
        <f>ROUND(P171-P156*R171,2)</f>
        <v>6.17</v>
      </c>
      <c r="T171" s="226">
        <v>16.674545454545399</v>
      </c>
      <c r="U171" s="227">
        <v>19.5163636363636</v>
      </c>
      <c r="V171" s="228">
        <f>ROUND((U171-T171)/(U156-T156),4)</f>
        <v>4.1000000000000003E-3</v>
      </c>
      <c r="W171" s="229">
        <f>ROUND(T171-T156*V171,2)</f>
        <v>7.24</v>
      </c>
      <c r="X171" s="226">
        <v>17.014545454545399</v>
      </c>
      <c r="Y171" s="227">
        <v>19.894545454545401</v>
      </c>
      <c r="Z171" s="228">
        <f>ROUND((Y171-X171)/(Y156-X156),4)</f>
        <v>4.1000000000000003E-3</v>
      </c>
      <c r="AA171" s="229">
        <f>ROUND(X171-X156*Z171,2)</f>
        <v>7.58</v>
      </c>
      <c r="AB171" s="226">
        <v>18.3</v>
      </c>
      <c r="AC171" s="233">
        <v>21.261818181818199</v>
      </c>
      <c r="AD171" s="228">
        <f>ROUND((AC171-AB171)/(AC156-AB156),4)</f>
        <v>4.1999999999999997E-3</v>
      </c>
      <c r="AE171" s="229">
        <f>ROUND(AB171-AB156*AD171,2)</f>
        <v>8.64</v>
      </c>
      <c r="AF171" s="226">
        <v>18.1072727272728</v>
      </c>
      <c r="AG171" s="227">
        <v>21.3363636363636</v>
      </c>
      <c r="AH171" s="228">
        <f>ROUND((AG171-AF171)/(AG156-AF156),4)</f>
        <v>4.5999999999999999E-3</v>
      </c>
      <c r="AI171" s="229">
        <f>ROUND(AF171-AF156*AH171,2)</f>
        <v>7.53</v>
      </c>
      <c r="AJ171" s="226">
        <v>23.374545454545402</v>
      </c>
      <c r="AK171" s="227">
        <v>27.716363636363599</v>
      </c>
      <c r="AL171" s="228">
        <f>ROUND((AK171-AJ171)/(AK156-AJ156),4)</f>
        <v>6.1999999999999998E-3</v>
      </c>
      <c r="AM171" s="229">
        <f>ROUND(AJ171-AJ156*AL171,2)</f>
        <v>9.11</v>
      </c>
      <c r="AN171" s="226">
        <v>24.250909090909001</v>
      </c>
      <c r="AO171" s="227">
        <v>28.650909090909099</v>
      </c>
      <c r="AP171" s="228">
        <f>ROUND((AO171-AN171)/(AO156-AN156),4)</f>
        <v>6.3E-3</v>
      </c>
      <c r="AQ171" s="229">
        <f>ROUND(AN171-AN156*AP171,2)</f>
        <v>9.76</v>
      </c>
      <c r="AR171" s="226">
        <v>26.754545454545401</v>
      </c>
      <c r="AS171" s="227">
        <v>31.441818181818199</v>
      </c>
      <c r="AT171" s="228">
        <f>ROUND((AS171-AR171)/(AS156-AR156),4)</f>
        <v>6.7000000000000002E-3</v>
      </c>
      <c r="AU171" s="229">
        <f>ROUND(AR171-AR156*AT171,2)</f>
        <v>11.34</v>
      </c>
    </row>
    <row r="172" spans="1:47" ht="15" thickBot="1">
      <c r="O172" s="224"/>
      <c r="P172" s="225"/>
      <c r="Q172" s="225"/>
      <c r="R172" s="225"/>
      <c r="S172" s="225"/>
      <c r="T172" s="225"/>
      <c r="U172" s="225"/>
      <c r="V172" s="225"/>
      <c r="W172" s="225"/>
      <c r="X172" s="225"/>
      <c r="Y172" s="225"/>
      <c r="Z172" s="225"/>
      <c r="AA172" s="225"/>
      <c r="AB172" s="225"/>
      <c r="AC172" s="225"/>
      <c r="AD172" s="225"/>
      <c r="AE172" s="225"/>
      <c r="AF172" s="225"/>
      <c r="AG172" s="225"/>
      <c r="AH172" s="225"/>
      <c r="AI172" s="225"/>
      <c r="AJ172" s="225"/>
      <c r="AK172" s="225"/>
      <c r="AL172" s="225"/>
      <c r="AM172" s="225"/>
      <c r="AN172" s="225"/>
      <c r="AO172" s="225"/>
      <c r="AP172" s="225"/>
      <c r="AQ172" s="225"/>
      <c r="AR172" s="225"/>
      <c r="AS172" s="225"/>
      <c r="AT172" s="225"/>
      <c r="AU172" s="225"/>
    </row>
    <row r="173" spans="1:47" ht="15" thickBot="1">
      <c r="E173" s="163"/>
      <c r="F173" s="596" t="s">
        <v>244</v>
      </c>
      <c r="G173" s="597"/>
      <c r="H173" s="597" t="s">
        <v>245</v>
      </c>
      <c r="I173" s="597"/>
      <c r="J173" s="597" t="s">
        <v>246</v>
      </c>
      <c r="K173" s="597"/>
      <c r="L173" s="597" t="s">
        <v>247</v>
      </c>
      <c r="M173" s="598"/>
      <c r="O173" s="204" t="s">
        <v>258</v>
      </c>
      <c r="P173" s="590" t="s">
        <v>290</v>
      </c>
      <c r="Q173" s="591"/>
      <c r="R173" s="591"/>
      <c r="S173" s="591"/>
      <c r="T173" s="591"/>
      <c r="U173" s="591"/>
      <c r="V173" s="591"/>
      <c r="W173" s="591"/>
      <c r="X173" s="591"/>
      <c r="Y173" s="591"/>
      <c r="Z173" s="591"/>
      <c r="AA173" s="591"/>
      <c r="AB173" s="591"/>
      <c r="AC173" s="591"/>
      <c r="AD173" s="591"/>
      <c r="AE173" s="592"/>
      <c r="AF173" s="590" t="s">
        <v>291</v>
      </c>
      <c r="AG173" s="591"/>
      <c r="AH173" s="591"/>
      <c r="AI173" s="591"/>
      <c r="AJ173" s="591"/>
      <c r="AK173" s="591"/>
      <c r="AL173" s="591"/>
      <c r="AM173" s="591"/>
      <c r="AN173" s="591"/>
      <c r="AO173" s="591"/>
      <c r="AP173" s="591"/>
      <c r="AQ173" s="591"/>
      <c r="AR173" s="591"/>
      <c r="AS173" s="591"/>
      <c r="AT173" s="591"/>
      <c r="AU173" s="592"/>
    </row>
    <row r="174" spans="1:47" ht="15" thickBot="1">
      <c r="E174" s="163"/>
      <c r="F174" s="221" t="s">
        <v>66</v>
      </c>
      <c r="G174" s="222" t="s">
        <v>249</v>
      </c>
      <c r="H174" s="222" t="s">
        <v>66</v>
      </c>
      <c r="I174" s="222" t="s">
        <v>249</v>
      </c>
      <c r="J174" s="222" t="s">
        <v>66</v>
      </c>
      <c r="K174" s="222" t="s">
        <v>249</v>
      </c>
      <c r="L174" s="222" t="s">
        <v>66</v>
      </c>
      <c r="M174" s="223" t="s">
        <v>249</v>
      </c>
      <c r="O174" s="205" t="s">
        <v>251</v>
      </c>
      <c r="P174" s="593" t="s">
        <v>276</v>
      </c>
      <c r="Q174" s="594"/>
      <c r="R174" s="594"/>
      <c r="S174" s="595"/>
      <c r="T174" s="593" t="s">
        <v>277</v>
      </c>
      <c r="U174" s="594"/>
      <c r="V174" s="594"/>
      <c r="W174" s="595"/>
      <c r="X174" s="593" t="s">
        <v>278</v>
      </c>
      <c r="Y174" s="594"/>
      <c r="Z174" s="594"/>
      <c r="AA174" s="595"/>
      <c r="AB174" s="593" t="s">
        <v>279</v>
      </c>
      <c r="AC174" s="594"/>
      <c r="AD174" s="594"/>
      <c r="AE174" s="595"/>
      <c r="AF174" s="593" t="s">
        <v>276</v>
      </c>
      <c r="AG174" s="594"/>
      <c r="AH174" s="594"/>
      <c r="AI174" s="595"/>
      <c r="AJ174" s="593" t="s">
        <v>277</v>
      </c>
      <c r="AK174" s="594"/>
      <c r="AL174" s="594"/>
      <c r="AM174" s="595"/>
      <c r="AN174" s="593" t="s">
        <v>278</v>
      </c>
      <c r="AO174" s="594"/>
      <c r="AP174" s="594"/>
      <c r="AQ174" s="595"/>
      <c r="AR174" s="593" t="s">
        <v>279</v>
      </c>
      <c r="AS174" s="594"/>
      <c r="AT174" s="594"/>
      <c r="AU174" s="595"/>
    </row>
    <row r="175" spans="1:47" ht="15" thickBot="1">
      <c r="A175" t="s">
        <v>248</v>
      </c>
      <c r="B175" s="163" t="e">
        <f>Задача_Расход</f>
        <v>#REF!</v>
      </c>
      <c r="D175" s="133">
        <v>1</v>
      </c>
      <c r="E175" s="133">
        <v>-40</v>
      </c>
      <c r="F175" s="220">
        <f>INDEX($R176:$AU190,$D175,1+VLOOKUP($B176,$B$351:$E$368,4,FALSE))</f>
        <v>1.47E-2</v>
      </c>
      <c r="G175" s="220">
        <f>INDEX($R176:$AU190,$D175,2+VLOOKUP($B176,$B$351:$E$368,4,FALSE))</f>
        <v>19.43</v>
      </c>
      <c r="H175" s="220">
        <f>INDEX($R176:$AU190,$D175,5+VLOOKUP($B176,$B$351:$E$368,4,FALSE))</f>
        <v>1.61E-2</v>
      </c>
      <c r="I175" s="220">
        <f>INDEX($R176:$AU190,$D175,6+VLOOKUP($B176,$B$351:$E$368,4,FALSE))</f>
        <v>21.52</v>
      </c>
      <c r="J175" s="220">
        <f>INDEX($R176:$AU190,$D175,9+VLOOKUP($B176,$B$351:$E$368,4,FALSE))</f>
        <v>1.6299999999999999E-2</v>
      </c>
      <c r="K175" s="220">
        <f>INDEX($R176:$AU190,$D175,10+VLOOKUP($B176,$B$351:$E$368,4,FALSE))</f>
        <v>21.96</v>
      </c>
      <c r="L175" s="220">
        <f>INDEX($R176:$AU190,$D175,13+VLOOKUP($B176,$B$351:$E$368,4,FALSE))</f>
        <v>1.6799999999999999E-2</v>
      </c>
      <c r="M175" s="220">
        <f>INDEX($R176:$AU190,$D175,14+VLOOKUP($B176,$B$351:$E$368,4,FALSE))</f>
        <v>23.67</v>
      </c>
      <c r="O175" s="206" t="s">
        <v>248</v>
      </c>
      <c r="P175" s="207">
        <v>2300</v>
      </c>
      <c r="Q175" s="208">
        <v>3000</v>
      </c>
      <c r="R175" s="208"/>
      <c r="S175" s="209"/>
      <c r="T175" s="207">
        <v>2300</v>
      </c>
      <c r="U175" s="208">
        <v>3000</v>
      </c>
      <c r="V175" s="208"/>
      <c r="W175" s="209"/>
      <c r="X175" s="207">
        <v>2300</v>
      </c>
      <c r="Y175" s="208">
        <v>3000</v>
      </c>
      <c r="Z175" s="208"/>
      <c r="AA175" s="209"/>
      <c r="AB175" s="207">
        <v>2300</v>
      </c>
      <c r="AC175" s="208">
        <v>3000</v>
      </c>
      <c r="AD175" s="208"/>
      <c r="AE175" s="209"/>
      <c r="AF175" s="207">
        <v>2300</v>
      </c>
      <c r="AG175" s="208">
        <v>3000</v>
      </c>
      <c r="AH175" s="208"/>
      <c r="AI175" s="209"/>
      <c r="AJ175" s="207">
        <v>2300</v>
      </c>
      <c r="AK175" s="208">
        <v>3000</v>
      </c>
      <c r="AL175" s="208"/>
      <c r="AM175" s="209"/>
      <c r="AN175" s="207">
        <v>2300</v>
      </c>
      <c r="AO175" s="208">
        <v>3000</v>
      </c>
      <c r="AP175" s="208"/>
      <c r="AQ175" s="209"/>
      <c r="AR175" s="207">
        <v>2300</v>
      </c>
      <c r="AS175" s="208">
        <v>3000</v>
      </c>
      <c r="AT175" s="208"/>
      <c r="AU175" s="209"/>
    </row>
    <row r="176" spans="1:47">
      <c r="A176" t="s">
        <v>250</v>
      </c>
      <c r="B176" s="163" t="s">
        <v>268</v>
      </c>
      <c r="D176" s="133">
        <v>2</v>
      </c>
      <c r="E176" s="133">
        <v>-35</v>
      </c>
      <c r="F176" s="203">
        <f>INDEX($R176:$AU190,$D176,1+VLOOKUP($B176,$B$351:$E$368,4,FALSE))</f>
        <v>1.4E-2</v>
      </c>
      <c r="G176" s="203">
        <f>INDEX($R176:$AU190,$D176,2+VLOOKUP($B176,$B$351:$E$368,4,FALSE))</f>
        <v>18.53</v>
      </c>
      <c r="H176" s="203">
        <f>INDEX($R176:$AU190,$D176,5+VLOOKUP($B176,$B$351:$E$368,4,FALSE))</f>
        <v>1.54E-2</v>
      </c>
      <c r="I176" s="203">
        <f>INDEX($R176:$AU190,$D176,6+VLOOKUP($B176,$B$351:$E$368,4,FALSE))</f>
        <v>20.62</v>
      </c>
      <c r="J176" s="203">
        <f>INDEX($R176:$AU190,$D176,9+VLOOKUP($B176,$B$351:$E$368,4,FALSE))</f>
        <v>1.5599999999999999E-2</v>
      </c>
      <c r="K176" s="203">
        <f>INDEX($R176:$AU190,$D176,10+VLOOKUP($B176,$B$351:$E$368,4,FALSE))</f>
        <v>21.06</v>
      </c>
      <c r="L176" s="203">
        <f>INDEX($R176:$AU190,$D176,13+VLOOKUP($B176,$B$351:$E$368,4,FALSE))</f>
        <v>1.6E-2</v>
      </c>
      <c r="M176" s="203">
        <f>INDEX($R176:$AU190,$D176,14+VLOOKUP($B176,$B$351:$E$368,4,FALSE))</f>
        <v>22.97</v>
      </c>
      <c r="O176" s="210">
        <v>-40</v>
      </c>
      <c r="P176" s="211">
        <v>39.5654545454545</v>
      </c>
      <c r="Q176" s="212">
        <v>46.412727272727302</v>
      </c>
      <c r="R176" s="203">
        <f>ROUND((Q176-P176)/(Q175-P175),4)</f>
        <v>9.7999999999999997E-3</v>
      </c>
      <c r="S176" s="217">
        <f>ROUND(P176-P175*R176,2)</f>
        <v>17.03</v>
      </c>
      <c r="T176" s="211">
        <v>43.732727272727303</v>
      </c>
      <c r="U176" s="212">
        <v>51.181818181818201</v>
      </c>
      <c r="V176" s="203">
        <f>ROUND((U176-T176)/(U175-T175),4)</f>
        <v>1.06E-2</v>
      </c>
      <c r="W176" s="217">
        <f>ROUND(T176-T175*V176,2)</f>
        <v>19.350000000000001</v>
      </c>
      <c r="X176" s="211">
        <v>44.259393939394002</v>
      </c>
      <c r="Y176" s="212">
        <v>51.7127272727273</v>
      </c>
      <c r="Z176" s="203">
        <f>ROUND((Y176-X176)/(Y175-X175),4)</f>
        <v>1.06E-2</v>
      </c>
      <c r="AA176" s="217">
        <f>ROUND(X176-X175*Z176,2)</f>
        <v>19.88</v>
      </c>
      <c r="AB176" s="211">
        <v>45.46</v>
      </c>
      <c r="AC176" s="212">
        <v>53.122424242424202</v>
      </c>
      <c r="AD176" s="203">
        <f>ROUND((AC176-AB176)/(AC175-AB175),4)</f>
        <v>1.09E-2</v>
      </c>
      <c r="AE176" s="217">
        <f>ROUND(AB176-AB175*AD176,2)</f>
        <v>20.39</v>
      </c>
      <c r="AF176" s="211">
        <v>53.243030303030302</v>
      </c>
      <c r="AG176" s="212">
        <v>63.548484848484897</v>
      </c>
      <c r="AH176" s="203">
        <f>ROUND((AG176-AF176)/(AG175-AF175),4)</f>
        <v>1.47E-2</v>
      </c>
      <c r="AI176" s="217">
        <f>ROUND(AF176-AF175*AH176,2)</f>
        <v>19.43</v>
      </c>
      <c r="AJ176" s="211">
        <v>58.552727272727303</v>
      </c>
      <c r="AK176" s="212">
        <v>69.835151515151495</v>
      </c>
      <c r="AL176" s="203">
        <f>ROUND((AK176-AJ176)/(AK175-AJ175),4)</f>
        <v>1.61E-2</v>
      </c>
      <c r="AM176" s="217">
        <f>ROUND(AJ176-AJ175*AL176,2)</f>
        <v>21.52</v>
      </c>
      <c r="AN176" s="211">
        <v>59.454545454545503</v>
      </c>
      <c r="AO176" s="212">
        <v>70.854545454545502</v>
      </c>
      <c r="AP176" s="203">
        <f>ROUND((AO176-AN176)/(AO175-AN175),4)</f>
        <v>1.6299999999999999E-2</v>
      </c>
      <c r="AQ176" s="217">
        <f>ROUND(AN176-AN175*AP176,2)</f>
        <v>21.96</v>
      </c>
      <c r="AR176" s="211">
        <v>62.306060606060598</v>
      </c>
      <c r="AS176" s="212">
        <v>74.0357575757576</v>
      </c>
      <c r="AT176" s="203">
        <f>ROUND((AS176-AR176)/(AS175-AR175),4)</f>
        <v>1.6799999999999999E-2</v>
      </c>
      <c r="AU176" s="217">
        <f>ROUND(AR176-AR175*AT176,2)</f>
        <v>23.67</v>
      </c>
    </row>
    <row r="177" spans="1:48">
      <c r="A177" t="s">
        <v>251</v>
      </c>
      <c r="B177" s="163" t="e">
        <f>Задача_НагревательТеплоноситель</f>
        <v>#REF!</v>
      </c>
      <c r="D177" s="133">
        <v>3</v>
      </c>
      <c r="E177" s="133">
        <v>-30</v>
      </c>
      <c r="F177" s="203">
        <f>INDEX($R176:$AU190,$D177,1+VLOOKUP($B176,$B$351:$E$368,4,FALSE))</f>
        <v>1.3299999999999999E-2</v>
      </c>
      <c r="G177" s="203">
        <f>INDEX($R176:$AU190,$D177,2+VLOOKUP($B176,$B$351:$E$368,4,FALSE))</f>
        <v>17.61</v>
      </c>
      <c r="H177" s="203">
        <f>INDEX($R176:$AU190,$D177,5+VLOOKUP($B176,$B$351:$E$368,4,FALSE))</f>
        <v>1.47E-2</v>
      </c>
      <c r="I177" s="203">
        <f>INDEX($R176:$AU190,$D177,6+VLOOKUP($B176,$B$351:$E$368,4,FALSE))</f>
        <v>19.690000000000001</v>
      </c>
      <c r="J177" s="203">
        <f>INDEX($R176:$AU190,$D177,9+VLOOKUP($B176,$B$351:$E$368,4,FALSE))</f>
        <v>1.49E-2</v>
      </c>
      <c r="K177" s="203">
        <f>INDEX($R176:$AU190,$D177,10+VLOOKUP($B176,$B$351:$E$368,4,FALSE))</f>
        <v>20.13</v>
      </c>
      <c r="L177" s="203">
        <f>INDEX($R176:$AU190,$D177,13+VLOOKUP($B176,$B$351:$E$368,4,FALSE))</f>
        <v>1.5299999999999999E-2</v>
      </c>
      <c r="M177" s="203">
        <f>INDEX($R176:$AU190,$D177,14+VLOOKUP($B176,$B$351:$E$368,4,FALSE))</f>
        <v>22.01</v>
      </c>
      <c r="O177" s="215">
        <v>-35</v>
      </c>
      <c r="P177" s="211">
        <v>37.64</v>
      </c>
      <c r="Q177" s="212">
        <v>44.14</v>
      </c>
      <c r="R177" s="203">
        <f>ROUND((Q177-P177)/(Q175-P175),4)</f>
        <v>9.2999999999999992E-3</v>
      </c>
      <c r="S177" s="217">
        <f>ROUND(P177-P175*R177,2)</f>
        <v>16.25</v>
      </c>
      <c r="T177" s="211">
        <v>41.8</v>
      </c>
      <c r="U177" s="212">
        <v>48.92</v>
      </c>
      <c r="V177" s="203">
        <f>ROUND((U177-T177)/(U175-T175),4)</f>
        <v>1.0200000000000001E-2</v>
      </c>
      <c r="W177" s="217">
        <f>ROUND(T177-T175*V177,2)</f>
        <v>18.34</v>
      </c>
      <c r="X177" s="211">
        <v>42.313333333333297</v>
      </c>
      <c r="Y177" s="212">
        <v>49.44</v>
      </c>
      <c r="Z177" s="203">
        <f>ROUND((Y177-X177)/(Y175-X175),4)</f>
        <v>1.0200000000000001E-2</v>
      </c>
      <c r="AA177" s="217">
        <f>ROUND(X177-X175*Z177,2)</f>
        <v>18.850000000000001</v>
      </c>
      <c r="AB177" s="211">
        <v>43.52</v>
      </c>
      <c r="AC177" s="214">
        <v>50.8466666666667</v>
      </c>
      <c r="AD177" s="203">
        <f>ROUND((AC177-AB177)/(AC175-AB175),4)</f>
        <v>1.0500000000000001E-2</v>
      </c>
      <c r="AE177" s="217">
        <f>ROUND(AB177-AB175*AD177,2)</f>
        <v>19.37</v>
      </c>
      <c r="AF177" s="211">
        <v>50.733333333333299</v>
      </c>
      <c r="AG177" s="212">
        <v>60.533333333333402</v>
      </c>
      <c r="AH177" s="203">
        <f>ROUND((AG177-AF177)/(AG175-AF175),4)</f>
        <v>1.4E-2</v>
      </c>
      <c r="AI177" s="217">
        <f>ROUND(AF177-AF175*AH177,2)</f>
        <v>18.53</v>
      </c>
      <c r="AJ177" s="211">
        <v>56.04</v>
      </c>
      <c r="AK177" s="212">
        <v>66.826666666666696</v>
      </c>
      <c r="AL177" s="203">
        <f>ROUND((AK177-AJ177)/(AK175-AJ175),4)</f>
        <v>1.54E-2</v>
      </c>
      <c r="AM177" s="217">
        <f>ROUND(AJ177-AJ175*AL177,2)</f>
        <v>20.62</v>
      </c>
      <c r="AN177" s="211">
        <v>56.94</v>
      </c>
      <c r="AO177" s="212">
        <v>67.84</v>
      </c>
      <c r="AP177" s="203">
        <f>ROUND((AO177-AN177)/(AO175-AN175),4)</f>
        <v>1.5599999999999999E-2</v>
      </c>
      <c r="AQ177" s="217">
        <f>ROUND(AN177-AN175*AP177,2)</f>
        <v>21.06</v>
      </c>
      <c r="AR177" s="211">
        <v>59.766666666666701</v>
      </c>
      <c r="AS177" s="212">
        <v>70.993333333333297</v>
      </c>
      <c r="AT177" s="203">
        <f>ROUND((AS177-AR177)/(AS175-AR175),4)</f>
        <v>1.6E-2</v>
      </c>
      <c r="AU177" s="217">
        <f>ROUND(AR177-AR175*AT177,2)</f>
        <v>22.97</v>
      </c>
    </row>
    <row r="178" spans="1:48">
      <c r="A178" t="s">
        <v>253</v>
      </c>
      <c r="B178" s="163" t="e">
        <f>VLOOKUP("600x350",ПП_Расчет!C$10:F$19,4,0)</f>
        <v>#REF!</v>
      </c>
      <c r="D178" s="133">
        <v>4</v>
      </c>
      <c r="E178" s="133">
        <v>-25</v>
      </c>
      <c r="F178" s="203">
        <f>INDEX($R176:$AU190,$D178,1+VLOOKUP($B176,$B$351:$E$368,4,FALSE))</f>
        <v>1.26E-2</v>
      </c>
      <c r="G178" s="203">
        <f>INDEX($R176:$AU190,$D178,2+VLOOKUP($B176,$B$351:$E$368,4,FALSE))</f>
        <v>16.72</v>
      </c>
      <c r="H178" s="203">
        <f>INDEX($R176:$AU190,$D178,5+VLOOKUP($B176,$B$351:$E$368,4,FALSE))</f>
        <v>1.4E-2</v>
      </c>
      <c r="I178" s="203">
        <f>INDEX($R176:$AU190,$D178,6+VLOOKUP($B176,$B$351:$E$368,4,FALSE))</f>
        <v>18.8</v>
      </c>
      <c r="J178" s="203">
        <f>INDEX($R176:$AU190,$D178,9+VLOOKUP($B176,$B$351:$E$368,4,FALSE))</f>
        <v>1.41E-2</v>
      </c>
      <c r="K178" s="203">
        <f>INDEX($R176:$AU190,$D178,10+VLOOKUP($B176,$B$351:$E$368,4,FALSE))</f>
        <v>19.47</v>
      </c>
      <c r="L178" s="203">
        <f>INDEX($R176:$AU190,$D178,13+VLOOKUP($B176,$B$351:$E$368,4,FALSE))</f>
        <v>1.46E-2</v>
      </c>
      <c r="M178" s="203">
        <f>INDEX($R176:$AU190,$D178,14+VLOOKUP($B176,$B$351:$E$368,4,FALSE))</f>
        <v>21.12</v>
      </c>
      <c r="O178" s="215">
        <v>-30</v>
      </c>
      <c r="P178" s="211">
        <v>35.700000000000003</v>
      </c>
      <c r="Q178" s="212">
        <v>41.9</v>
      </c>
      <c r="R178" s="203">
        <f>ROUND((Q178-P178)/(Q175-P175),4)</f>
        <v>8.8999999999999999E-3</v>
      </c>
      <c r="S178" s="217">
        <f>ROUND(P178-P175*R178,2)</f>
        <v>15.23</v>
      </c>
      <c r="T178" s="211">
        <v>39.9</v>
      </c>
      <c r="U178" s="212">
        <v>46.8</v>
      </c>
      <c r="V178" s="203">
        <f>ROUND((U178-T178)/(U175-T175),4)</f>
        <v>9.9000000000000008E-3</v>
      </c>
      <c r="W178" s="217">
        <f>ROUND(T178-T175*V178,2)</f>
        <v>17.13</v>
      </c>
      <c r="X178" s="211">
        <v>40.6</v>
      </c>
      <c r="Y178" s="212">
        <v>47.2</v>
      </c>
      <c r="Z178" s="203">
        <f>ROUND((Y178-X178)/(Y175-X175),4)</f>
        <v>9.4000000000000004E-3</v>
      </c>
      <c r="AA178" s="217">
        <f>ROUND(X178-X175*Z178,2)</f>
        <v>18.98</v>
      </c>
      <c r="AB178" s="211">
        <v>41.6</v>
      </c>
      <c r="AC178" s="212">
        <v>48.6</v>
      </c>
      <c r="AD178" s="203">
        <f>ROUND((AC178-AB178)/(AC175-AB175),4)</f>
        <v>0.01</v>
      </c>
      <c r="AE178" s="217">
        <f>ROUND(AB178-AB175*AD178,2)</f>
        <v>18.600000000000001</v>
      </c>
      <c r="AF178" s="211">
        <v>48.2</v>
      </c>
      <c r="AG178" s="212">
        <v>57.5</v>
      </c>
      <c r="AH178" s="203">
        <f>ROUND((AG178-AF178)/(AG175-AF175),4)</f>
        <v>1.3299999999999999E-2</v>
      </c>
      <c r="AI178" s="217">
        <f>ROUND(AF178-AF175*AH178,2)</f>
        <v>17.61</v>
      </c>
      <c r="AJ178" s="211">
        <v>53.5</v>
      </c>
      <c r="AK178" s="212">
        <v>63.8</v>
      </c>
      <c r="AL178" s="203">
        <f>ROUND((AK178-AJ178)/(AK175-AJ175),4)</f>
        <v>1.47E-2</v>
      </c>
      <c r="AM178" s="217">
        <f>ROUND(AJ178-AJ175*AL178,2)</f>
        <v>19.690000000000001</v>
      </c>
      <c r="AN178" s="211">
        <v>54.4</v>
      </c>
      <c r="AO178" s="212">
        <v>64.8</v>
      </c>
      <c r="AP178" s="203">
        <f>ROUND((AO178-AN178)/(AO175-AN175),4)</f>
        <v>1.49E-2</v>
      </c>
      <c r="AQ178" s="217">
        <f>ROUND(AN178-AN175*AP178,2)</f>
        <v>20.13</v>
      </c>
      <c r="AR178" s="211">
        <v>57.2</v>
      </c>
      <c r="AS178" s="212">
        <v>67.900000000000006</v>
      </c>
      <c r="AT178" s="203">
        <f>ROUND((AS178-AR178)/(AS175-AR175),4)</f>
        <v>1.5299999999999999E-2</v>
      </c>
      <c r="AU178" s="217">
        <f>ROUND(AR178-AR175*AT178,2)</f>
        <v>22.01</v>
      </c>
    </row>
    <row r="179" spans="1:48">
      <c r="D179" s="133">
        <v>5</v>
      </c>
      <c r="E179" s="133">
        <v>-20</v>
      </c>
      <c r="F179" s="203">
        <f>INDEX($R176:$AU190,$D179,1+VLOOKUP($B176,$B$351:$E$368,4,FALSE))</f>
        <v>1.1900000000000001E-2</v>
      </c>
      <c r="G179" s="203">
        <f>INDEX($R176:$AU190,$D179,2+VLOOKUP($B176,$B$351:$E$368,4,FALSE))</f>
        <v>15.83</v>
      </c>
      <c r="H179" s="203">
        <f>INDEX($R176:$AU190,$D179,5+VLOOKUP($B176,$B$351:$E$368,4,FALSE))</f>
        <v>1.3299999999999999E-2</v>
      </c>
      <c r="I179" s="203">
        <f>INDEX($R176:$AU190,$D179,6+VLOOKUP($B176,$B$351:$E$368,4,FALSE))</f>
        <v>17.91</v>
      </c>
      <c r="J179" s="203">
        <f>INDEX($R176:$AU190,$D179,9+VLOOKUP($B176,$B$351:$E$368,4,FALSE))</f>
        <v>1.34E-2</v>
      </c>
      <c r="K179" s="203">
        <f>INDEX($R176:$AU190,$D179,10+VLOOKUP($B176,$B$351:$E$368,4,FALSE))</f>
        <v>18.579999999999998</v>
      </c>
      <c r="L179" s="203">
        <f>INDEX($R176:$AU190,$D179,13+VLOOKUP($B176,$B$351:$E$368,4,FALSE))</f>
        <v>1.4E-2</v>
      </c>
      <c r="M179" s="203">
        <f>INDEX($R176:$AU190,$D179,14+VLOOKUP($B176,$B$351:$E$368,4,FALSE))</f>
        <v>19.899999999999999</v>
      </c>
      <c r="O179" s="215">
        <v>-25</v>
      </c>
      <c r="P179" s="211">
        <v>33.799999999999997</v>
      </c>
      <c r="Q179" s="212">
        <v>39.6</v>
      </c>
      <c r="R179" s="203">
        <f>ROUND((Q179-P179)/(Q175-P175),4)</f>
        <v>8.3000000000000001E-3</v>
      </c>
      <c r="S179" s="217">
        <f>ROUND(P179-P175*R179,2)</f>
        <v>14.71</v>
      </c>
      <c r="T179" s="211">
        <v>37.9</v>
      </c>
      <c r="U179" s="212">
        <v>44.5</v>
      </c>
      <c r="V179" s="203">
        <f>ROUND((U179-T179)/(U175-T175),4)</f>
        <v>9.4000000000000004E-3</v>
      </c>
      <c r="W179" s="217">
        <f>ROUND(T179-T175*V179,2)</f>
        <v>16.28</v>
      </c>
      <c r="X179" s="211">
        <v>38.299999999999997</v>
      </c>
      <c r="Y179" s="212">
        <v>44.9</v>
      </c>
      <c r="Z179" s="203">
        <f>ROUND((Y179-X179)/(Y175-X175),4)</f>
        <v>9.4000000000000004E-3</v>
      </c>
      <c r="AA179" s="217">
        <f>ROUND(X179-X175*Z179,2)</f>
        <v>16.68</v>
      </c>
      <c r="AB179" s="211">
        <v>39.6</v>
      </c>
      <c r="AC179" s="212">
        <v>46.3</v>
      </c>
      <c r="AD179" s="203">
        <f>ROUND((AC179-AB179)/(AC175-AB175),4)</f>
        <v>9.5999999999999992E-3</v>
      </c>
      <c r="AE179" s="217">
        <f>ROUND(AB179-AB175*AD179,2)</f>
        <v>17.52</v>
      </c>
      <c r="AF179" s="211">
        <v>45.7</v>
      </c>
      <c r="AG179" s="212">
        <v>54.5</v>
      </c>
      <c r="AH179" s="203">
        <f>ROUND((AG179-AF179)/(AG175-AF175),4)</f>
        <v>1.26E-2</v>
      </c>
      <c r="AI179" s="217">
        <f>ROUND(AF179-AF175*AH179,2)</f>
        <v>16.72</v>
      </c>
      <c r="AJ179" s="211">
        <v>51</v>
      </c>
      <c r="AK179" s="212">
        <v>60.8</v>
      </c>
      <c r="AL179" s="203">
        <f>ROUND((AK179-AJ179)/(AK175-AJ175),4)</f>
        <v>1.4E-2</v>
      </c>
      <c r="AM179" s="217">
        <f>ROUND(AJ179-AJ175*AL179,2)</f>
        <v>18.8</v>
      </c>
      <c r="AN179" s="211">
        <v>51.9</v>
      </c>
      <c r="AO179" s="212">
        <v>61.8</v>
      </c>
      <c r="AP179" s="203">
        <f>ROUND((AO179-AN179)/(AO175-AN175),4)</f>
        <v>1.41E-2</v>
      </c>
      <c r="AQ179" s="217">
        <f>ROUND(AN179-AN175*AP179,2)</f>
        <v>19.47</v>
      </c>
      <c r="AR179" s="211">
        <v>54.7</v>
      </c>
      <c r="AS179" s="212">
        <v>64.900000000000006</v>
      </c>
      <c r="AT179" s="203">
        <f>ROUND((AS179-AR179)/(AS175-AR175),4)</f>
        <v>1.46E-2</v>
      </c>
      <c r="AU179" s="217">
        <f>ROUND(AR179-AR175*AT179,2)</f>
        <v>21.12</v>
      </c>
    </row>
    <row r="180" spans="1:48">
      <c r="A180" t="s">
        <v>66</v>
      </c>
      <c r="B180" s="163" t="e">
        <f>VLOOKUP(B178,E175:M189,VLOOKUP(B177,B$345:D$348,2,FALSE))</f>
        <v>#REF!</v>
      </c>
      <c r="D180" s="133">
        <v>6</v>
      </c>
      <c r="E180" s="133">
        <v>-15</v>
      </c>
      <c r="F180" s="203">
        <f>INDEX($R176:$AU190,$D180,1+VLOOKUP($B176,$B$351:$E$368,4,FALSE))</f>
        <v>1.11E-2</v>
      </c>
      <c r="G180" s="203">
        <f>INDEX($R176:$AU190,$D180,2+VLOOKUP($B176,$B$351:$E$368,4,FALSE))</f>
        <v>15.17</v>
      </c>
      <c r="H180" s="203">
        <f>INDEX($R176:$AU190,$D180,5+VLOOKUP($B176,$B$351:$E$368,4,FALSE))</f>
        <v>1.26E-2</v>
      </c>
      <c r="I180" s="203">
        <f>INDEX($R176:$AU190,$D180,6+VLOOKUP($B176,$B$351:$E$368,4,FALSE))</f>
        <v>17.02</v>
      </c>
      <c r="J180" s="203">
        <f>INDEX($R176:$AU190,$D180,9+VLOOKUP($B176,$B$351:$E$368,4,FALSE))</f>
        <v>1.2699999999999999E-2</v>
      </c>
      <c r="K180" s="203">
        <f>INDEX($R176:$AU190,$D180,10+VLOOKUP($B176,$B$351:$E$368,4,FALSE))</f>
        <v>17.690000000000001</v>
      </c>
      <c r="L180" s="203">
        <f>INDEX($R176:$AU190,$D180,13+VLOOKUP($B176,$B$351:$E$368,4,FALSE))</f>
        <v>1.3100000000000001E-2</v>
      </c>
      <c r="M180" s="203">
        <f>INDEX($R176:$AU190,$D180,14+VLOOKUP($B176,$B$351:$E$368,4,FALSE))</f>
        <v>19.47</v>
      </c>
      <c r="O180" s="215">
        <v>-20</v>
      </c>
      <c r="P180" s="211">
        <v>31.9</v>
      </c>
      <c r="Q180" s="212">
        <v>37.299999999999997</v>
      </c>
      <c r="R180" s="203">
        <f>ROUND((Q180-P180)/(Q175-P175),4)</f>
        <v>7.7000000000000002E-3</v>
      </c>
      <c r="S180" s="217">
        <f>ROUND(P180-P175*R180,2)</f>
        <v>14.19</v>
      </c>
      <c r="T180" s="211">
        <v>36</v>
      </c>
      <c r="U180" s="212">
        <v>42.2</v>
      </c>
      <c r="V180" s="203">
        <f>ROUND((U180-T180)/(U175-T175),4)</f>
        <v>8.8999999999999999E-3</v>
      </c>
      <c r="W180" s="217">
        <f>ROUND(T180-T175*V180,2)</f>
        <v>15.53</v>
      </c>
      <c r="X180" s="211">
        <v>36.4</v>
      </c>
      <c r="Y180" s="212">
        <v>42.6</v>
      </c>
      <c r="Z180" s="203">
        <f>ROUND((Y180-X180)/(Y175-X175),4)</f>
        <v>8.8999999999999999E-3</v>
      </c>
      <c r="AA180" s="217">
        <f>ROUND(X180-X175*Z180,2)</f>
        <v>15.93</v>
      </c>
      <c r="AB180" s="211">
        <v>37.700000000000003</v>
      </c>
      <c r="AC180" s="214">
        <v>44</v>
      </c>
      <c r="AD180" s="203">
        <f>ROUND((AC180-AB180)/(AC175-AB175),4)</f>
        <v>8.9999999999999993E-3</v>
      </c>
      <c r="AE180" s="217">
        <f>ROUND(AB180-AB175*AD180,2)</f>
        <v>17</v>
      </c>
      <c r="AF180" s="211">
        <v>43.2</v>
      </c>
      <c r="AG180" s="212">
        <v>51.5</v>
      </c>
      <c r="AH180" s="203">
        <f>ROUND((AG180-AF180)/(AG175-AF175),4)</f>
        <v>1.1900000000000001E-2</v>
      </c>
      <c r="AI180" s="217">
        <f>ROUND(AF180-AF175*AH180,2)</f>
        <v>15.83</v>
      </c>
      <c r="AJ180" s="211">
        <v>48.5</v>
      </c>
      <c r="AK180" s="212">
        <v>57.8</v>
      </c>
      <c r="AL180" s="203">
        <f>ROUND((AK180-AJ180)/(AK175-AJ175),4)</f>
        <v>1.3299999999999999E-2</v>
      </c>
      <c r="AM180" s="217">
        <f>ROUND(AJ180-AJ175*AL180,2)</f>
        <v>17.91</v>
      </c>
      <c r="AN180" s="211">
        <v>49.4</v>
      </c>
      <c r="AO180" s="212">
        <v>58.8</v>
      </c>
      <c r="AP180" s="203">
        <f>ROUND((AO180-AN180)/(AO175-AN175),4)</f>
        <v>1.34E-2</v>
      </c>
      <c r="AQ180" s="217">
        <f>ROUND(AN180-AN175*AP180,2)</f>
        <v>18.579999999999998</v>
      </c>
      <c r="AR180" s="211">
        <v>52.1</v>
      </c>
      <c r="AS180" s="212">
        <v>61.9</v>
      </c>
      <c r="AT180" s="203">
        <f>ROUND((AS180-AR180)/(AS175-AR175),4)</f>
        <v>1.4E-2</v>
      </c>
      <c r="AU180" s="217">
        <f>ROUND(AR180-AR175*AT180,2)</f>
        <v>19.899999999999999</v>
      </c>
    </row>
    <row r="181" spans="1:48">
      <c r="A181" t="s">
        <v>249</v>
      </c>
      <c r="B181" s="163" t="e">
        <f>VLOOKUP(B178,E175:M189,VLOOKUP(B177,B$345:D$348,3,FALSE))</f>
        <v>#REF!</v>
      </c>
      <c r="D181" s="133">
        <v>7</v>
      </c>
      <c r="E181" s="133">
        <v>-10</v>
      </c>
      <c r="F181" s="203">
        <f>INDEX($R176:$AU190,$D181,1+VLOOKUP($B176,$B$351:$E$368,4,FALSE))</f>
        <v>1.04E-2</v>
      </c>
      <c r="G181" s="203">
        <f>INDEX($R176:$AU190,$D181,2+VLOOKUP($B176,$B$351:$E$368,4,FALSE))</f>
        <v>14.28</v>
      </c>
      <c r="H181" s="203">
        <f>INDEX($R176:$AU190,$D181,5+VLOOKUP($B176,$B$351:$E$368,4,FALSE))</f>
        <v>1.1900000000000001E-2</v>
      </c>
      <c r="I181" s="203">
        <f>INDEX($R176:$AU190,$D181,6+VLOOKUP($B176,$B$351:$E$368,4,FALSE))</f>
        <v>16.13</v>
      </c>
      <c r="J181" s="203">
        <f>INDEX($R176:$AU190,$D181,9+VLOOKUP($B176,$B$351:$E$368,4,FALSE))</f>
        <v>1.2E-2</v>
      </c>
      <c r="K181" s="203">
        <f>INDEX($R176:$AU190,$D181,10+VLOOKUP($B176,$B$351:$E$368,4,FALSE))</f>
        <v>16.8</v>
      </c>
      <c r="L181" s="203">
        <f>INDEX($R176:$AU190,$D181,13+VLOOKUP($B176,$B$351:$E$368,4,FALSE))</f>
        <v>1.24E-2</v>
      </c>
      <c r="M181" s="203">
        <f>INDEX($R176:$AU190,$D181,14+VLOOKUP($B176,$B$351:$E$368,4,FALSE))</f>
        <v>18.579999999999998</v>
      </c>
      <c r="O181" s="215">
        <v>-15</v>
      </c>
      <c r="P181" s="211">
        <v>29.9</v>
      </c>
      <c r="Q181" s="212">
        <v>35</v>
      </c>
      <c r="R181" s="203">
        <f>ROUND((Q181-P181)/(Q175-P175),4)</f>
        <v>7.3000000000000001E-3</v>
      </c>
      <c r="S181" s="217">
        <f>ROUND(P181-P175*R181,2)</f>
        <v>13.11</v>
      </c>
      <c r="T181" s="211">
        <v>34.1</v>
      </c>
      <c r="U181" s="212">
        <v>39.299999999999997</v>
      </c>
      <c r="V181" s="203">
        <f>ROUND((U181-T181)/(U175-T175),4)</f>
        <v>7.4000000000000003E-3</v>
      </c>
      <c r="W181" s="217">
        <f>ROUND(T181-T175*V181,2)</f>
        <v>17.079999999999998</v>
      </c>
      <c r="X181" s="211">
        <v>34.5</v>
      </c>
      <c r="Y181" s="212">
        <v>40.299999999999997</v>
      </c>
      <c r="Z181" s="203">
        <f>ROUND((Y181-X181)/(Y175-X175),4)</f>
        <v>8.3000000000000001E-3</v>
      </c>
      <c r="AA181" s="217">
        <f>ROUND(X181-X175*Z181,2)</f>
        <v>15.41</v>
      </c>
      <c r="AB181" s="211">
        <v>35.799999999999997</v>
      </c>
      <c r="AC181" s="212">
        <v>41.7</v>
      </c>
      <c r="AD181" s="203">
        <f>ROUND((AC181-AB181)/(AC175-AB175),4)</f>
        <v>8.3999999999999995E-3</v>
      </c>
      <c r="AE181" s="217">
        <f>ROUND(AB181-AB175*AD181,2)</f>
        <v>16.48</v>
      </c>
      <c r="AF181" s="211">
        <v>40.700000000000003</v>
      </c>
      <c r="AG181" s="212">
        <v>48.5</v>
      </c>
      <c r="AH181" s="203">
        <f>ROUND((AG181-AF181)/(AG175-AF175),4)</f>
        <v>1.11E-2</v>
      </c>
      <c r="AI181" s="217">
        <f>ROUND(AF181-AF175*AH181,2)</f>
        <v>15.17</v>
      </c>
      <c r="AJ181" s="211">
        <v>46</v>
      </c>
      <c r="AK181" s="212">
        <v>54.8</v>
      </c>
      <c r="AL181" s="203">
        <f>ROUND((AK181-AJ181)/(AK175-AJ175),4)</f>
        <v>1.26E-2</v>
      </c>
      <c r="AM181" s="217">
        <f>ROUND(AJ181-AJ175*AL181,2)</f>
        <v>17.02</v>
      </c>
      <c r="AN181" s="211">
        <v>46.9</v>
      </c>
      <c r="AO181" s="212">
        <v>55.8</v>
      </c>
      <c r="AP181" s="203">
        <f>ROUND((AO181-AN181)/(AO175-AN175),4)</f>
        <v>1.2699999999999999E-2</v>
      </c>
      <c r="AQ181" s="217">
        <f>ROUND(AN181-AN175*AP181,2)</f>
        <v>17.690000000000001</v>
      </c>
      <c r="AR181" s="211">
        <v>49.6</v>
      </c>
      <c r="AS181" s="212">
        <v>58.8</v>
      </c>
      <c r="AT181" s="203">
        <f>ROUND((AS181-AR181)/(AS175-AR175),4)</f>
        <v>1.3100000000000001E-2</v>
      </c>
      <c r="AU181" s="217">
        <f>ROUND(AR181-AR175*AT181,2)</f>
        <v>19.47</v>
      </c>
    </row>
    <row r="182" spans="1:48">
      <c r="D182" s="133">
        <v>8</v>
      </c>
      <c r="E182" s="133">
        <v>-5</v>
      </c>
      <c r="F182" s="203">
        <f>INDEX($R176:$AU190,$D182,1+VLOOKUP($B176,$B$351:$E$368,4,FALSE))</f>
        <v>9.5999999999999992E-3</v>
      </c>
      <c r="G182" s="203">
        <f>INDEX($R176:$AU190,$D182,2+VLOOKUP($B176,$B$351:$E$368,4,FALSE))</f>
        <v>13.62</v>
      </c>
      <c r="H182" s="203">
        <f>INDEX($R176:$AU190,$D182,5+VLOOKUP($B176,$B$351:$E$368,4,FALSE))</f>
        <v>1.11E-2</v>
      </c>
      <c r="I182" s="203">
        <f>INDEX($R176:$AU190,$D182,6+VLOOKUP($B176,$B$351:$E$368,4,FALSE))</f>
        <v>15.47</v>
      </c>
      <c r="J182" s="203">
        <f>INDEX($R176:$AU190,$D182,9+VLOOKUP($B176,$B$351:$E$368,4,FALSE))</f>
        <v>1.1299999999999999E-2</v>
      </c>
      <c r="K182" s="203">
        <f>INDEX($R176:$AU190,$D182,10+VLOOKUP($B176,$B$351:$E$368,4,FALSE))</f>
        <v>15.91</v>
      </c>
      <c r="L182" s="203">
        <f>INDEX($R176:$AU190,$D182,13+VLOOKUP($B176,$B$351:$E$368,4,FALSE))</f>
        <v>1.17E-2</v>
      </c>
      <c r="M182" s="203">
        <f>INDEX($R176:$AU190,$D182,14+VLOOKUP($B176,$B$351:$E$368,4,FALSE))</f>
        <v>17.690000000000001</v>
      </c>
      <c r="O182" s="215">
        <v>-10</v>
      </c>
      <c r="P182" s="211">
        <v>28</v>
      </c>
      <c r="Q182" s="212">
        <v>32.799999999999997</v>
      </c>
      <c r="R182" s="203">
        <f>ROUND((Q182-P182)/(Q175-P175),4)</f>
        <v>6.8999999999999999E-3</v>
      </c>
      <c r="S182" s="217">
        <f>ROUND(P182-P175*R182,2)</f>
        <v>12.13</v>
      </c>
      <c r="T182" s="211">
        <v>32.1</v>
      </c>
      <c r="U182" s="212">
        <v>37.700000000000003</v>
      </c>
      <c r="V182" s="203">
        <f>ROUND((U182-T182)/(U175-T175),4)</f>
        <v>8.0000000000000002E-3</v>
      </c>
      <c r="W182" s="217">
        <f>ROUND(T182-T175*V182,2)</f>
        <v>13.7</v>
      </c>
      <c r="X182" s="211">
        <v>32.5</v>
      </c>
      <c r="Y182" s="212">
        <v>38.1</v>
      </c>
      <c r="Z182" s="203">
        <f>ROUND((Y182-X182)/(Y175-X175),4)</f>
        <v>8.0000000000000002E-3</v>
      </c>
      <c r="AA182" s="217">
        <f>ROUND(X182-X175*Z182,2)</f>
        <v>14.1</v>
      </c>
      <c r="AB182" s="211">
        <v>33.799999999999997</v>
      </c>
      <c r="AC182" s="212">
        <v>39.5</v>
      </c>
      <c r="AD182" s="203">
        <f>ROUND((AC182-AB182)/(AC175-AB175),4)</f>
        <v>8.0999999999999996E-3</v>
      </c>
      <c r="AE182" s="217">
        <f>ROUND(AB182-AB175*AD182,2)</f>
        <v>15.17</v>
      </c>
      <c r="AF182" s="211">
        <v>38.200000000000003</v>
      </c>
      <c r="AG182" s="212">
        <v>45.5</v>
      </c>
      <c r="AH182" s="203">
        <f>ROUND((AG182-AF182)/(AG175-AF175),4)</f>
        <v>1.04E-2</v>
      </c>
      <c r="AI182" s="217">
        <f>ROUND(AF182-AF175*AH182,2)</f>
        <v>14.28</v>
      </c>
      <c r="AJ182" s="211">
        <v>43.5</v>
      </c>
      <c r="AK182" s="212">
        <v>51.8</v>
      </c>
      <c r="AL182" s="203">
        <f>ROUND((AK182-AJ182)/(AK175-AJ175),4)</f>
        <v>1.1900000000000001E-2</v>
      </c>
      <c r="AM182" s="217">
        <f>ROUND(AJ182-AJ175*AL182,2)</f>
        <v>16.13</v>
      </c>
      <c r="AN182" s="211">
        <v>44.4</v>
      </c>
      <c r="AO182" s="212">
        <v>52.8</v>
      </c>
      <c r="AP182" s="203">
        <f>ROUND((AO182-AN182)/(AO175-AN175),4)</f>
        <v>1.2E-2</v>
      </c>
      <c r="AQ182" s="217">
        <f>ROUND(AN182-AN175*AP182,2)</f>
        <v>16.8</v>
      </c>
      <c r="AR182" s="211">
        <v>47.1</v>
      </c>
      <c r="AS182" s="212">
        <v>55.8</v>
      </c>
      <c r="AT182" s="203">
        <f>ROUND((AS182-AR182)/(AS175-AR175),4)</f>
        <v>1.24E-2</v>
      </c>
      <c r="AU182" s="217">
        <f>ROUND(AR182-AR175*AT182,2)</f>
        <v>18.579999999999998</v>
      </c>
    </row>
    <row r="183" spans="1:48">
      <c r="A183" t="s">
        <v>254</v>
      </c>
      <c r="B183" s="163" t="e">
        <f>B175*B180+B181</f>
        <v>#REF!</v>
      </c>
      <c r="D183" s="133">
        <v>9</v>
      </c>
      <c r="E183" s="133">
        <v>0</v>
      </c>
      <c r="F183" s="203">
        <f>INDEX($R176:$AU190,$D183,1+VLOOKUP($B176,$B$351:$E$368,4,FALSE))</f>
        <v>8.8999999999999999E-3</v>
      </c>
      <c r="G183" s="203">
        <f>INDEX($R176:$AU190,$D183,2+VLOOKUP($B176,$B$351:$E$368,4,FALSE))</f>
        <v>12.73</v>
      </c>
      <c r="H183" s="203">
        <f>INDEX($R176:$AU190,$D183,5+VLOOKUP($B176,$B$351:$E$368,4,FALSE))</f>
        <v>1.04E-2</v>
      </c>
      <c r="I183" s="203">
        <f>INDEX($R176:$AU190,$D183,6+VLOOKUP($B176,$B$351:$E$368,4,FALSE))</f>
        <v>14.58</v>
      </c>
      <c r="J183" s="203">
        <f>INDEX($R176:$AU190,$D183,9+VLOOKUP($B176,$B$351:$E$368,4,FALSE))</f>
        <v>1.06E-2</v>
      </c>
      <c r="K183" s="203">
        <f>INDEX($R176:$AU190,$D183,10+VLOOKUP($B176,$B$351:$E$368,4,FALSE))</f>
        <v>14.92</v>
      </c>
      <c r="L183" s="203">
        <f>INDEX($R176:$AU190,$D183,13+VLOOKUP($B176,$B$351:$E$368,4,FALSE))</f>
        <v>1.0999999999999999E-2</v>
      </c>
      <c r="M183" s="203">
        <f>INDEX($R176:$AU190,$D183,14+VLOOKUP($B176,$B$351:$E$368,4,FALSE))</f>
        <v>16.7</v>
      </c>
      <c r="O183" s="215">
        <v>-5</v>
      </c>
      <c r="P183" s="211">
        <v>26.1</v>
      </c>
      <c r="Q183" s="212">
        <v>30.5</v>
      </c>
      <c r="R183" s="203">
        <f>ROUND((Q183-P183)/(Q175-P175),4)</f>
        <v>6.3E-3</v>
      </c>
      <c r="S183" s="217">
        <f>ROUND(P183-P175*R183,2)</f>
        <v>11.61</v>
      </c>
      <c r="T183" s="211">
        <v>30.2</v>
      </c>
      <c r="U183" s="212">
        <v>35.4</v>
      </c>
      <c r="V183" s="203">
        <f>ROUND((U183-T183)/(U175-T175),4)</f>
        <v>7.4000000000000003E-3</v>
      </c>
      <c r="W183" s="217">
        <f>ROUND(T183-T175*V183,2)</f>
        <v>13.18</v>
      </c>
      <c r="X183" s="211">
        <v>30.6</v>
      </c>
      <c r="Y183" s="212">
        <v>35.799999999999997</v>
      </c>
      <c r="Z183" s="203">
        <f>ROUND((Y183-X183)/(Y175-X175),4)</f>
        <v>7.4000000000000003E-3</v>
      </c>
      <c r="AA183" s="217">
        <f>ROUND(X183-X175*Z183,2)</f>
        <v>13.58</v>
      </c>
      <c r="AB183" s="211">
        <v>31.9</v>
      </c>
      <c r="AC183" s="212">
        <v>37.200000000000003</v>
      </c>
      <c r="AD183" s="203">
        <f>ROUND((AC183-AB183)/(AC175-AB175),4)</f>
        <v>7.6E-3</v>
      </c>
      <c r="AE183" s="217">
        <f>ROUND(AB183-AB175*AD183,2)</f>
        <v>14.42</v>
      </c>
      <c r="AF183" s="211">
        <v>35.700000000000003</v>
      </c>
      <c r="AG183" s="212">
        <v>42.4</v>
      </c>
      <c r="AH183" s="203">
        <f>ROUND((AG183-AF183)/(AG175-AF175),4)</f>
        <v>9.5999999999999992E-3</v>
      </c>
      <c r="AI183" s="217">
        <f>ROUND(AF183-AF175*AH183,2)</f>
        <v>13.62</v>
      </c>
      <c r="AJ183" s="211">
        <v>41</v>
      </c>
      <c r="AK183" s="212">
        <v>48.8</v>
      </c>
      <c r="AL183" s="203">
        <f>ROUND((AK183-AJ183)/(AK175-AJ175),4)</f>
        <v>1.11E-2</v>
      </c>
      <c r="AM183" s="217">
        <f>ROUND(AJ183-AJ175*AL183,2)</f>
        <v>15.47</v>
      </c>
      <c r="AN183" s="211">
        <v>41.9</v>
      </c>
      <c r="AO183" s="212">
        <v>49.8</v>
      </c>
      <c r="AP183" s="203">
        <f>ROUND((AO183-AN183)/(AO175-AN175),4)</f>
        <v>1.1299999999999999E-2</v>
      </c>
      <c r="AQ183" s="217">
        <f>ROUND(AN183-AN175*AP183,2)</f>
        <v>15.91</v>
      </c>
      <c r="AR183" s="211">
        <v>44.6</v>
      </c>
      <c r="AS183" s="212">
        <v>52.8</v>
      </c>
      <c r="AT183" s="203">
        <f>ROUND((AS183-AR183)/(AS175-AR175),4)</f>
        <v>1.17E-2</v>
      </c>
      <c r="AU183" s="217">
        <f>ROUND(AR183-AR175*AT183,2)</f>
        <v>17.690000000000001</v>
      </c>
    </row>
    <row r="184" spans="1:48">
      <c r="A184" t="s">
        <v>255</v>
      </c>
      <c r="B184" s="163" t="e">
        <f>ROUND(B183/(0.000335*B175),1)+B178</f>
        <v>#REF!</v>
      </c>
      <c r="D184" s="133">
        <v>10</v>
      </c>
      <c r="E184" s="133">
        <v>5</v>
      </c>
      <c r="F184" s="203">
        <f>INDEX($R176:$AU190,$D184,1+VLOOKUP($B176,$B$351:$E$368,4,FALSE))</f>
        <v>8.0999999999999996E-3</v>
      </c>
      <c r="G184" s="203">
        <f>INDEX($R176:$AU190,$D184,2+VLOOKUP($B176,$B$351:$E$368,4,FALSE))</f>
        <v>12.07</v>
      </c>
      <c r="H184" s="203">
        <f>INDEX($R176:$AU190,$D184,5+VLOOKUP($B176,$B$351:$E$368,4,FALSE))</f>
        <v>9.7000000000000003E-3</v>
      </c>
      <c r="I184" s="203">
        <f>INDEX($R176:$AU190,$D184,6+VLOOKUP($B176,$B$351:$E$368,4,FALSE))</f>
        <v>13.59</v>
      </c>
      <c r="J184" s="203">
        <f>INDEX($R176:$AU190,$D184,9+VLOOKUP($B176,$B$351:$E$368,4,FALSE))</f>
        <v>9.9000000000000008E-3</v>
      </c>
      <c r="K184" s="203">
        <f>INDEX($R176:$AU190,$D184,10+VLOOKUP($B176,$B$351:$E$368,4,FALSE))</f>
        <v>14.03</v>
      </c>
      <c r="L184" s="203">
        <f>INDEX($R176:$AU190,$D184,13+VLOOKUP($B176,$B$351:$E$368,4,FALSE))</f>
        <v>1.03E-2</v>
      </c>
      <c r="M184" s="203">
        <f>INDEX($R176:$AU190,$D184,14+VLOOKUP($B176,$B$351:$E$368,4,FALSE))</f>
        <v>15.81</v>
      </c>
      <c r="O184" s="215">
        <v>0</v>
      </c>
      <c r="P184" s="211">
        <v>24.2</v>
      </c>
      <c r="Q184" s="212">
        <v>28.2</v>
      </c>
      <c r="R184" s="203">
        <f>ROUND((Q184-P184)/(Q175-P175),4)</f>
        <v>5.7000000000000002E-3</v>
      </c>
      <c r="S184" s="217">
        <f>ROUND(P184-P175*R184,2)</f>
        <v>11.09</v>
      </c>
      <c r="T184" s="211">
        <v>28.3</v>
      </c>
      <c r="U184" s="212">
        <v>33.1</v>
      </c>
      <c r="V184" s="203">
        <f>ROUND((U184-T184)/(U175-T175),4)</f>
        <v>6.8999999999999999E-3</v>
      </c>
      <c r="W184" s="217">
        <f>ROUND(T184-T175*V184,2)</f>
        <v>12.43</v>
      </c>
      <c r="X184" s="211">
        <v>28.7</v>
      </c>
      <c r="Y184" s="212">
        <v>33.5</v>
      </c>
      <c r="Z184" s="203">
        <f>ROUND((Y184-X184)/(Y175-X175),4)</f>
        <v>6.8999999999999999E-3</v>
      </c>
      <c r="AA184" s="217">
        <f>ROUND(X184-X175*Z184,2)</f>
        <v>12.83</v>
      </c>
      <c r="AB184" s="211">
        <v>29.9</v>
      </c>
      <c r="AC184" s="212">
        <v>34.9</v>
      </c>
      <c r="AD184" s="203">
        <f>ROUND((AC184-AB184)/(AC175-AB175),4)</f>
        <v>7.1000000000000004E-3</v>
      </c>
      <c r="AE184" s="217">
        <f>ROUND(AB184-AB175*AD184,2)</f>
        <v>13.57</v>
      </c>
      <c r="AF184" s="211">
        <v>33.200000000000003</v>
      </c>
      <c r="AG184" s="212">
        <v>39.4</v>
      </c>
      <c r="AH184" s="203">
        <f>ROUND((AG184-AF184)/(AG175-AF175),4)</f>
        <v>8.8999999999999999E-3</v>
      </c>
      <c r="AI184" s="217">
        <f>ROUND(AF184-AF175*AH184,2)</f>
        <v>12.73</v>
      </c>
      <c r="AJ184" s="211">
        <v>38.5</v>
      </c>
      <c r="AK184" s="212">
        <v>45.8</v>
      </c>
      <c r="AL184" s="203">
        <f>ROUND((AK184-AJ184)/(AK175-AJ175),4)</f>
        <v>1.04E-2</v>
      </c>
      <c r="AM184" s="217">
        <f>ROUND(AJ184-AJ175*AL184,2)</f>
        <v>14.58</v>
      </c>
      <c r="AN184" s="211">
        <v>39.299999999999997</v>
      </c>
      <c r="AO184" s="212">
        <v>46.7</v>
      </c>
      <c r="AP184" s="203">
        <f>ROUND((AO184-AN184)/(AO175-AN175),4)</f>
        <v>1.06E-2</v>
      </c>
      <c r="AQ184" s="217">
        <f>ROUND(AN184-AN175*AP184,2)</f>
        <v>14.92</v>
      </c>
      <c r="AR184" s="211">
        <v>42</v>
      </c>
      <c r="AS184" s="212">
        <v>49.7</v>
      </c>
      <c r="AT184" s="203">
        <f>ROUND((AS184-AR184)/(AS175-AR175),4)</f>
        <v>1.0999999999999999E-2</v>
      </c>
      <c r="AU184" s="217">
        <f>ROUND(AR184-AR175*AT184,2)</f>
        <v>16.7</v>
      </c>
    </row>
    <row r="185" spans="1:48">
      <c r="D185" s="133">
        <v>11</v>
      </c>
      <c r="E185" s="133">
        <v>10</v>
      </c>
      <c r="F185" s="203">
        <f>INDEX($R176:$AU190,$D185,1+VLOOKUP($B176,$B$351:$E$368,4,FALSE))</f>
        <v>7.6E-3</v>
      </c>
      <c r="G185" s="203">
        <f>INDEX($R176:$AU190,$D185,2+VLOOKUP($B176,$B$351:$E$368,4,FALSE))</f>
        <v>10.62</v>
      </c>
      <c r="H185" s="203">
        <f>INDEX($R176:$AU190,$D185,5+VLOOKUP($B176,$B$351:$E$368,4,FALSE))</f>
        <v>9.1000000000000004E-3</v>
      </c>
      <c r="I185" s="203">
        <f>INDEX($R176:$AU190,$D185,6+VLOOKUP($B176,$B$351:$E$368,4,FALSE))</f>
        <v>12.47</v>
      </c>
      <c r="J185" s="203">
        <f>INDEX($R176:$AU190,$D185,9+VLOOKUP($B176,$B$351:$E$368,4,FALSE))</f>
        <v>9.1000000000000004E-3</v>
      </c>
      <c r="K185" s="203">
        <f>INDEX($R176:$AU190,$D185,10+VLOOKUP($B176,$B$351:$E$368,4,FALSE))</f>
        <v>13.37</v>
      </c>
      <c r="L185" s="203">
        <f>INDEX($R176:$AU190,$D185,13+VLOOKUP($B176,$B$351:$E$368,4,FALSE))</f>
        <v>9.5999999999999992E-3</v>
      </c>
      <c r="M185" s="203">
        <f>INDEX($R176:$AU190,$D185,14+VLOOKUP($B176,$B$351:$E$368,4,FALSE))</f>
        <v>14.82</v>
      </c>
      <c r="O185" s="215">
        <v>5</v>
      </c>
      <c r="P185" s="211">
        <v>22.2</v>
      </c>
      <c r="Q185" s="212">
        <v>26</v>
      </c>
      <c r="R185" s="203">
        <f>ROUND((Q185-P185)/(Q175-P175),4)</f>
        <v>5.4000000000000003E-3</v>
      </c>
      <c r="S185" s="217">
        <f>ROUND(P185-P175*R185,2)</f>
        <v>9.7799999999999994</v>
      </c>
      <c r="T185" s="211">
        <v>26.3</v>
      </c>
      <c r="U185" s="212">
        <v>30.9</v>
      </c>
      <c r="V185" s="203">
        <f>ROUND((U185-T185)/(U175-T175),4)</f>
        <v>6.6E-3</v>
      </c>
      <c r="W185" s="217">
        <f>ROUND(T185-T175*V185,2)</f>
        <v>11.12</v>
      </c>
      <c r="X185" s="211">
        <v>26.8</v>
      </c>
      <c r="Y185" s="212">
        <v>31.3</v>
      </c>
      <c r="Z185" s="203">
        <f>ROUND((Y185-X185)/(Y175-X175),4)</f>
        <v>6.4000000000000003E-3</v>
      </c>
      <c r="AA185" s="217">
        <f>ROUND(X185-X175*Z185,2)</f>
        <v>12.08</v>
      </c>
      <c r="AB185" s="211">
        <v>28</v>
      </c>
      <c r="AC185" s="212">
        <v>32.6</v>
      </c>
      <c r="AD185" s="203">
        <f>ROUND((AC185-AB185)/(AC175-AB175),4)</f>
        <v>6.6E-3</v>
      </c>
      <c r="AE185" s="217">
        <f>ROUND(AB185-AB175*AD185,2)</f>
        <v>12.82</v>
      </c>
      <c r="AF185" s="211">
        <v>30.7</v>
      </c>
      <c r="AG185" s="212">
        <v>36.4</v>
      </c>
      <c r="AH185" s="203">
        <f>ROUND((AG185-AF185)/(AG175-AF175),4)</f>
        <v>8.0999999999999996E-3</v>
      </c>
      <c r="AI185" s="217">
        <f>ROUND(AF185-AF175*AH185,2)</f>
        <v>12.07</v>
      </c>
      <c r="AJ185" s="211">
        <v>35.9</v>
      </c>
      <c r="AK185" s="212">
        <v>42.7</v>
      </c>
      <c r="AL185" s="203">
        <f>ROUND((AK185-AJ185)/(AK175-AJ175),4)</f>
        <v>9.7000000000000003E-3</v>
      </c>
      <c r="AM185" s="217">
        <f>ROUND(AJ185-AJ175*AL185,2)</f>
        <v>13.59</v>
      </c>
      <c r="AN185" s="211">
        <v>36.799999999999997</v>
      </c>
      <c r="AO185" s="212">
        <v>43.7</v>
      </c>
      <c r="AP185" s="203">
        <f>ROUND((AO185-AN185)/(AO175-AN175),4)</f>
        <v>9.9000000000000008E-3</v>
      </c>
      <c r="AQ185" s="217">
        <f>ROUND(AN185-AN175*AP185,2)</f>
        <v>14.03</v>
      </c>
      <c r="AR185" s="211">
        <v>39.5</v>
      </c>
      <c r="AS185" s="212">
        <v>46.7</v>
      </c>
      <c r="AT185" s="203">
        <f>ROUND((AS185-AR185)/(AS175-AR175),4)</f>
        <v>1.03E-2</v>
      </c>
      <c r="AU185" s="217">
        <f>ROUND(AR185-AR175*AT185,2)</f>
        <v>15.81</v>
      </c>
    </row>
    <row r="186" spans="1:48">
      <c r="A186" t="s">
        <v>256</v>
      </c>
      <c r="B186" s="163" t="e">
        <f>ROUND(B183/(4183*VLOOKUP(B177,B$345:E$348,4,FALSE))*3600,2)</f>
        <v>#REF!</v>
      </c>
      <c r="D186" s="133">
        <v>12</v>
      </c>
      <c r="E186" s="133">
        <v>15</v>
      </c>
      <c r="F186" s="203">
        <f>INDEX($R176:$AU190,$D186,1+VLOOKUP($B176,$B$351:$E$368,4,FALSE))</f>
        <v>6.8999999999999999E-3</v>
      </c>
      <c r="G186" s="203">
        <f>INDEX($R176:$AU190,$D186,2+VLOOKUP($B176,$B$351:$E$368,4,FALSE))</f>
        <v>9.73</v>
      </c>
      <c r="H186" s="203">
        <f>INDEX($R176:$AU190,$D186,5+VLOOKUP($B176,$B$351:$E$368,4,FALSE))</f>
        <v>8.3000000000000001E-3</v>
      </c>
      <c r="I186" s="203">
        <f>INDEX($R176:$AU190,$D186,6+VLOOKUP($B176,$B$351:$E$368,4,FALSE))</f>
        <v>11.81</v>
      </c>
      <c r="J186" s="203">
        <f>INDEX($R176:$AU190,$D186,9+VLOOKUP($B176,$B$351:$E$368,4,FALSE))</f>
        <v>8.3999999999999995E-3</v>
      </c>
      <c r="K186" s="203">
        <f>INDEX($R176:$AU190,$D186,10+VLOOKUP($B176,$B$351:$E$368,4,FALSE))</f>
        <v>12.48</v>
      </c>
      <c r="L186" s="203">
        <f>INDEX($R176:$AU190,$D186,13+VLOOKUP($B176,$B$351:$E$368,4,FALSE))</f>
        <v>8.8999999999999999E-3</v>
      </c>
      <c r="M186" s="203">
        <f>INDEX($R176:$AU190,$D186,14+VLOOKUP($B176,$B$351:$E$368,4,FALSE))</f>
        <v>13.83</v>
      </c>
      <c r="O186" s="215">
        <v>10</v>
      </c>
      <c r="P186" s="211">
        <v>20.3</v>
      </c>
      <c r="Q186" s="212">
        <v>23.7</v>
      </c>
      <c r="R186" s="203">
        <f>ROUND((Q186-P186)/(Q175-P175),4)</f>
        <v>4.8999999999999998E-3</v>
      </c>
      <c r="S186" s="217">
        <f>ROUND(P186-P175*R186,2)</f>
        <v>9.0299999999999994</v>
      </c>
      <c r="T186" s="211">
        <v>24.4</v>
      </c>
      <c r="U186" s="212">
        <v>28.6</v>
      </c>
      <c r="V186" s="203">
        <f>ROUND((U186-T186)/(U175-T175),4)</f>
        <v>6.0000000000000001E-3</v>
      </c>
      <c r="W186" s="217">
        <f>ROUND(T186-T175*V186,2)</f>
        <v>10.6</v>
      </c>
      <c r="X186" s="211">
        <v>24.8</v>
      </c>
      <c r="Y186" s="212">
        <v>29</v>
      </c>
      <c r="Z186" s="203">
        <f>ROUND((Y186-X186)/(Y175-X175),4)</f>
        <v>6.0000000000000001E-3</v>
      </c>
      <c r="AA186" s="217">
        <f>ROUND(X186-X175*Z186,2)</f>
        <v>11</v>
      </c>
      <c r="AB186" s="211">
        <v>26.1</v>
      </c>
      <c r="AC186" s="212">
        <v>30.4</v>
      </c>
      <c r="AD186" s="203">
        <f>ROUND((AC186-AB186)/(AC175-AB175),4)</f>
        <v>6.1000000000000004E-3</v>
      </c>
      <c r="AE186" s="217">
        <f>ROUND(AB186-AB175*AD186,2)</f>
        <v>12.07</v>
      </c>
      <c r="AF186" s="211">
        <v>28.1</v>
      </c>
      <c r="AG186" s="212">
        <v>33.4</v>
      </c>
      <c r="AH186" s="203">
        <f>ROUND((AG186-AF186)/(AG175-AF175),4)</f>
        <v>7.6E-3</v>
      </c>
      <c r="AI186" s="217">
        <f>ROUND(AF186-AF175*AH186,2)</f>
        <v>10.62</v>
      </c>
      <c r="AJ186" s="211">
        <v>33.4</v>
      </c>
      <c r="AK186" s="212">
        <v>39.799999999999997</v>
      </c>
      <c r="AL186" s="203">
        <f>ROUND((AK186-AJ186)/(AK175-AJ175),4)</f>
        <v>9.1000000000000004E-3</v>
      </c>
      <c r="AM186" s="217">
        <f>ROUND(AJ186-AJ175*AL186,2)</f>
        <v>12.47</v>
      </c>
      <c r="AN186" s="211">
        <v>34.299999999999997</v>
      </c>
      <c r="AO186" s="212">
        <v>40.700000000000003</v>
      </c>
      <c r="AP186" s="203">
        <f>ROUND((AO186-AN186)/(AO175-AN175),4)</f>
        <v>9.1000000000000004E-3</v>
      </c>
      <c r="AQ186" s="217">
        <f>ROUND(AN186-AN175*AP186,2)</f>
        <v>13.37</v>
      </c>
      <c r="AR186" s="211">
        <v>36.9</v>
      </c>
      <c r="AS186" s="212">
        <v>43.6</v>
      </c>
      <c r="AT186" s="203">
        <f>ROUND((AS186-AR186)/(AS175-AR175),4)</f>
        <v>9.5999999999999992E-3</v>
      </c>
      <c r="AU186" s="217">
        <f>ROUND(AR186-AR175*AT186,2)</f>
        <v>14.82</v>
      </c>
    </row>
    <row r="187" spans="1:48">
      <c r="A187" t="s">
        <v>257</v>
      </c>
      <c r="B187" s="163" t="e">
        <f>ROUND(100*POWER(B186/VLOOKUP(B176,B$351:C$368,2,FALSE),2),1)</f>
        <v>#REF!</v>
      </c>
      <c r="D187" s="133">
        <v>13</v>
      </c>
      <c r="E187" s="133">
        <v>20</v>
      </c>
      <c r="F187" s="203">
        <f>INDEX($R176:$AU190,$D187,1+VLOOKUP($B176,$B$351:$E$368,4,FALSE))</f>
        <v>6.1000000000000004E-3</v>
      </c>
      <c r="G187" s="203">
        <f>INDEX($R176:$AU190,$D187,2+VLOOKUP($B176,$B$351:$E$368,4,FALSE))</f>
        <v>9.1</v>
      </c>
      <c r="H187" s="203">
        <f>INDEX($R176:$AU190,$D187,5+VLOOKUP($B176,$B$351:$E$368,4,FALSE))</f>
        <v>7.6E-3</v>
      </c>
      <c r="I187" s="203">
        <f>INDEX($R176:$AU190,$D187,6+VLOOKUP($B176,$B$351:$E$368,4,FALSE))</f>
        <v>10.92</v>
      </c>
      <c r="J187" s="203">
        <f>INDEX($R176:$AU190,$D187,9+VLOOKUP($B176,$B$351:$E$368,4,FALSE))</f>
        <v>7.7000000000000002E-3</v>
      </c>
      <c r="K187" s="203">
        <f>INDEX($R176:$AU190,$D187,10+VLOOKUP($B176,$B$351:$E$368,4,FALSE))</f>
        <v>11.57</v>
      </c>
      <c r="L187" s="203">
        <f>INDEX($R176:$AU190,$D187,13+VLOOKUP($B176,$B$351:$E$368,4,FALSE))</f>
        <v>8.0999999999999996E-3</v>
      </c>
      <c r="M187" s="203">
        <f>INDEX($R176:$AU190,$D187,14+VLOOKUP($B176,$B$351:$E$368,4,FALSE))</f>
        <v>13.2</v>
      </c>
      <c r="O187" s="215">
        <v>15</v>
      </c>
      <c r="P187" s="211">
        <v>18.399999999999999</v>
      </c>
      <c r="Q187" s="212">
        <v>21.4</v>
      </c>
      <c r="R187" s="203">
        <f>ROUND((Q187-P187)/(Q175-P175),4)</f>
        <v>4.3E-3</v>
      </c>
      <c r="S187" s="217">
        <f>ROUND(P187-P175*R187,2)</f>
        <v>8.51</v>
      </c>
      <c r="T187" s="211">
        <v>22.5</v>
      </c>
      <c r="U187" s="212">
        <v>26.3</v>
      </c>
      <c r="V187" s="203">
        <f>ROUND((U187-T187)/(U175-T175),4)</f>
        <v>5.4000000000000003E-3</v>
      </c>
      <c r="W187" s="217">
        <f>ROUND(T187-T175*V187,2)</f>
        <v>10.08</v>
      </c>
      <c r="X187" s="211">
        <v>22.9</v>
      </c>
      <c r="Y187" s="212">
        <v>26.7</v>
      </c>
      <c r="Z187" s="203">
        <f>ROUND((Y187-X187)/(Y175-X175),4)</f>
        <v>5.4000000000000003E-3</v>
      </c>
      <c r="AA187" s="217">
        <f>ROUND(X187-X175*Z187,2)</f>
        <v>10.48</v>
      </c>
      <c r="AB187" s="211">
        <v>24.1</v>
      </c>
      <c r="AC187" s="212">
        <v>28.1</v>
      </c>
      <c r="AD187" s="203">
        <f>ROUND((AC187-AB187)/(AC175-AB175),4)</f>
        <v>5.7000000000000002E-3</v>
      </c>
      <c r="AE187" s="217">
        <f>ROUND(AB187-AB175*AD187,2)</f>
        <v>10.99</v>
      </c>
      <c r="AF187" s="211">
        <v>25.6</v>
      </c>
      <c r="AG187" s="212">
        <v>30.4</v>
      </c>
      <c r="AH187" s="203">
        <f>ROUND((AG187-AF187)/(AG175-AF175),4)</f>
        <v>6.8999999999999999E-3</v>
      </c>
      <c r="AI187" s="217">
        <f>ROUND(AF187-AF175*AH187,2)</f>
        <v>9.73</v>
      </c>
      <c r="AJ187" s="211">
        <v>30.9</v>
      </c>
      <c r="AK187" s="212">
        <v>36.700000000000003</v>
      </c>
      <c r="AL187" s="203">
        <f>ROUND((AK187-AJ187)/(AK175-AJ175),4)</f>
        <v>8.3000000000000001E-3</v>
      </c>
      <c r="AM187" s="217">
        <f>ROUND(AJ187-AJ175*AL187,2)</f>
        <v>11.81</v>
      </c>
      <c r="AN187" s="211">
        <v>31.8</v>
      </c>
      <c r="AO187" s="212">
        <v>37.700000000000003</v>
      </c>
      <c r="AP187" s="203">
        <f>ROUND((AO187-AN187)/(AO175-AN175),4)</f>
        <v>8.3999999999999995E-3</v>
      </c>
      <c r="AQ187" s="217">
        <f>ROUND(AN187-AN175*AP187,2)</f>
        <v>12.48</v>
      </c>
      <c r="AR187" s="211">
        <v>34.299999999999997</v>
      </c>
      <c r="AS187" s="212">
        <v>40.5</v>
      </c>
      <c r="AT187" s="203">
        <f>ROUND((AS187-AR187)/(AS175-AR175),4)</f>
        <v>8.8999999999999999E-3</v>
      </c>
      <c r="AU187" s="217">
        <f>ROUND(AR187-AR175*AT187,2)</f>
        <v>13.83</v>
      </c>
    </row>
    <row r="188" spans="1:48">
      <c r="D188" s="133">
        <v>14</v>
      </c>
      <c r="E188" s="133">
        <v>25</v>
      </c>
      <c r="F188" s="203">
        <f>INDEX($R176:$AU190,$D188,1+VLOOKUP($B176,$B$351:$E$368,4,FALSE))</f>
        <v>5.3E-3</v>
      </c>
      <c r="G188" s="203">
        <f>INDEX($R176:$AU190,$D188,2+VLOOKUP($B176,$B$351:$E$368,4,FALSE))</f>
        <v>8.43</v>
      </c>
      <c r="H188" s="203">
        <f>INDEX($R176:$AU190,$D188,5+VLOOKUP($B176,$B$351:$E$368,4,FALSE))</f>
        <v>6.8999999999999999E-3</v>
      </c>
      <c r="I188" s="203">
        <f>INDEX($R176:$AU190,$D188,6+VLOOKUP($B176,$B$351:$E$368,4,FALSE))</f>
        <v>10.02</v>
      </c>
      <c r="J188" s="203">
        <f>INDEX($R176:$AU190,$D188,9+VLOOKUP($B176,$B$351:$E$368,4,FALSE))</f>
        <v>7.0000000000000001E-3</v>
      </c>
      <c r="K188" s="203">
        <f>INDEX($R176:$AU190,$D188,10+VLOOKUP($B176,$B$351:$E$368,4,FALSE))</f>
        <v>10.67</v>
      </c>
      <c r="L188" s="203">
        <f>INDEX($R176:$AU190,$D188,13+VLOOKUP($B176,$B$351:$E$368,4,FALSE))</f>
        <v>7.4000000000000003E-3</v>
      </c>
      <c r="M188" s="203">
        <f>INDEX($R176:$AU190,$D188,14+VLOOKUP($B176,$B$351:$E$368,4,FALSE))</f>
        <v>12.27</v>
      </c>
      <c r="O188" s="215">
        <v>20</v>
      </c>
      <c r="P188" s="211">
        <v>16.46</v>
      </c>
      <c r="Q188" s="212">
        <v>19.14</v>
      </c>
      <c r="R188" s="203">
        <f>ROUND((Q188-P188)/(Q175-P175),4)</f>
        <v>3.8E-3</v>
      </c>
      <c r="S188" s="217">
        <f>ROUND(P188-P175*R188,2)</f>
        <v>7.72</v>
      </c>
      <c r="T188" s="211">
        <v>20.54</v>
      </c>
      <c r="U188" s="212">
        <v>24.04</v>
      </c>
      <c r="V188" s="203">
        <f>ROUND((U188-T188)/(U175-T175),4)</f>
        <v>5.0000000000000001E-3</v>
      </c>
      <c r="W188" s="217">
        <f>ROUND(T188-T175*V188,2)</f>
        <v>9.0399999999999991</v>
      </c>
      <c r="X188" s="211">
        <v>20.906666666666599</v>
      </c>
      <c r="Y188" s="212">
        <v>24.44</v>
      </c>
      <c r="Z188" s="203">
        <f>ROUND((Y188-X188)/(Y175-X175),4)</f>
        <v>5.0000000000000001E-3</v>
      </c>
      <c r="AA188" s="217">
        <f>ROUND(X188-X175*Z188,2)</f>
        <v>9.41</v>
      </c>
      <c r="AB188" s="211">
        <v>22.18</v>
      </c>
      <c r="AC188" s="212">
        <v>25.813333333333301</v>
      </c>
      <c r="AD188" s="203">
        <f>ROUND((AC188-AB188)/(AC175-AB175),4)</f>
        <v>5.1999999999999998E-3</v>
      </c>
      <c r="AE188" s="217">
        <f>ROUND(AB188-AB175*AD188,2)</f>
        <v>10.220000000000001</v>
      </c>
      <c r="AF188" s="211">
        <v>23.126666666666701</v>
      </c>
      <c r="AG188" s="212">
        <v>27.3666666666666</v>
      </c>
      <c r="AH188" s="203">
        <f>ROUND((AG188-AF188)/(AG175-AF175),4)</f>
        <v>6.1000000000000004E-3</v>
      </c>
      <c r="AI188" s="217">
        <f>ROUND(AF188-AF175*AH188,2)</f>
        <v>9.1</v>
      </c>
      <c r="AJ188" s="211">
        <v>28.4</v>
      </c>
      <c r="AK188" s="212">
        <v>33.733333333333299</v>
      </c>
      <c r="AL188" s="203">
        <f>ROUND((AK188-AJ188)/(AK175-AJ175),4)</f>
        <v>7.6E-3</v>
      </c>
      <c r="AM188" s="217">
        <f>ROUND(AJ188-AJ175*AL188,2)</f>
        <v>10.92</v>
      </c>
      <c r="AN188" s="211">
        <v>29.28</v>
      </c>
      <c r="AO188" s="212">
        <v>34.68</v>
      </c>
      <c r="AP188" s="203">
        <f>ROUND((AO188-AN188)/(AO175-AN175),4)</f>
        <v>7.7000000000000002E-3</v>
      </c>
      <c r="AQ188" s="217">
        <f>ROUND(AN188-AN175*AP188,2)</f>
        <v>11.57</v>
      </c>
      <c r="AR188" s="211">
        <v>31.8333333333333</v>
      </c>
      <c r="AS188" s="212">
        <v>37.526666666666699</v>
      </c>
      <c r="AT188" s="203">
        <f>ROUND((AS188-AR188)/(AS175-AR175),4)</f>
        <v>8.0999999999999996E-3</v>
      </c>
      <c r="AU188" s="217">
        <f>ROUND(AR188-AR175*AT188,2)</f>
        <v>13.2</v>
      </c>
    </row>
    <row r="189" spans="1:48">
      <c r="D189" s="133">
        <v>15</v>
      </c>
      <c r="E189" s="133">
        <v>30</v>
      </c>
      <c r="F189" s="203">
        <f>INDEX($R176:$AU190,$D189,1+VLOOKUP($B176,$B$351:$E$368,4,FALSE))</f>
        <v>4.5999999999999999E-3</v>
      </c>
      <c r="G189" s="203">
        <f>INDEX($R176:$AU190,$D189,2+VLOOKUP($B176,$B$351:$E$368,4,FALSE))</f>
        <v>7.53</v>
      </c>
      <c r="H189" s="203">
        <f>INDEX($R176:$AU190,$D189,5+VLOOKUP($B176,$B$351:$E$368,4,FALSE))</f>
        <v>6.1999999999999998E-3</v>
      </c>
      <c r="I189" s="203">
        <f>INDEX($R176:$AU190,$D189,6+VLOOKUP($B176,$B$351:$E$368,4,FALSE))</f>
        <v>9.11</v>
      </c>
      <c r="J189" s="203">
        <f>INDEX($R176:$AU190,$D189,9+VLOOKUP($B176,$B$351:$E$368,4,FALSE))</f>
        <v>6.3E-3</v>
      </c>
      <c r="K189" s="203">
        <f>INDEX($R176:$AU190,$D189,10+VLOOKUP($B176,$B$351:$E$368,4,FALSE))</f>
        <v>9.76</v>
      </c>
      <c r="L189" s="203">
        <f>INDEX($R176:$AU190,$D189,13+VLOOKUP($B176,$B$351:$E$368,4,FALSE))</f>
        <v>6.7000000000000002E-3</v>
      </c>
      <c r="M189" s="203">
        <f>INDEX($R176:$AU190,$D189,14+VLOOKUP($B176,$B$351:$E$368,4,FALSE))</f>
        <v>11.34</v>
      </c>
      <c r="O189" s="215">
        <v>25</v>
      </c>
      <c r="P189" s="211">
        <v>14.5345454545455</v>
      </c>
      <c r="Q189" s="212">
        <v>16.867272727272699</v>
      </c>
      <c r="R189" s="203">
        <f>ROUND((Q189-P189)/(Q175-P175),4)</f>
        <v>3.3E-3</v>
      </c>
      <c r="S189" s="217">
        <f>ROUND(P189-P175*R189,2)</f>
        <v>6.94</v>
      </c>
      <c r="T189" s="211">
        <v>18.607272727272701</v>
      </c>
      <c r="U189" s="212">
        <v>21.7781818181818</v>
      </c>
      <c r="V189" s="203">
        <f>ROUND((U189-T189)/(U175-T175),4)</f>
        <v>4.4999999999999997E-3</v>
      </c>
      <c r="W189" s="217">
        <f>ROUND(T189-T175*V189,2)</f>
        <v>8.26</v>
      </c>
      <c r="X189" s="211">
        <v>18.960606060606001</v>
      </c>
      <c r="Y189" s="212">
        <v>22.167272727272699</v>
      </c>
      <c r="Z189" s="203">
        <f>ROUND((Y189-X189)/(Y175-X175),4)</f>
        <v>4.5999999999999999E-3</v>
      </c>
      <c r="AA189" s="217">
        <f>ROUND(X189-X175*Z189,2)</f>
        <v>8.3800000000000008</v>
      </c>
      <c r="AB189" s="211">
        <v>20.239999999999998</v>
      </c>
      <c r="AC189" s="212">
        <v>23.537575757575802</v>
      </c>
      <c r="AD189" s="203">
        <f>ROUND((AC189-AB189)/(AC175-AB175),4)</f>
        <v>4.7000000000000002E-3</v>
      </c>
      <c r="AE189" s="217">
        <f>ROUND(AB189-AB175*AD189,2)</f>
        <v>9.43</v>
      </c>
      <c r="AF189" s="211">
        <v>20.616969696969701</v>
      </c>
      <c r="AG189" s="212">
        <v>24.351515151515098</v>
      </c>
      <c r="AH189" s="203">
        <f>ROUND((AG189-AF189)/(AG175-AF175),4)</f>
        <v>5.3E-3</v>
      </c>
      <c r="AI189" s="217">
        <f>ROUND(AF189-AF175*AH189,2)</f>
        <v>8.43</v>
      </c>
      <c r="AJ189" s="211">
        <v>25.887272727272698</v>
      </c>
      <c r="AK189" s="212">
        <v>30.724848484848501</v>
      </c>
      <c r="AL189" s="203">
        <f>ROUND((AK189-AJ189)/(AK175-AJ175),4)</f>
        <v>6.8999999999999999E-3</v>
      </c>
      <c r="AM189" s="217">
        <f>ROUND(AJ189-AJ175*AL189,2)</f>
        <v>10.02</v>
      </c>
      <c r="AN189" s="211">
        <v>26.765454545454499</v>
      </c>
      <c r="AO189" s="212">
        <v>31.665454545454601</v>
      </c>
      <c r="AP189" s="203">
        <f>ROUND((AO189-AN189)/(AO175-AN175),4)</f>
        <v>7.0000000000000001E-3</v>
      </c>
      <c r="AQ189" s="217">
        <f>ROUND(AN189-AN175*AP189,2)</f>
        <v>10.67</v>
      </c>
      <c r="AR189" s="211">
        <v>29.2939393939394</v>
      </c>
      <c r="AS189" s="212">
        <v>34.484242424242403</v>
      </c>
      <c r="AT189" s="203">
        <f>ROUND((AS189-AR189)/(AS175-AR175),4)</f>
        <v>7.4000000000000003E-3</v>
      </c>
      <c r="AU189" s="217">
        <f>ROUND(AR189-AR175*AT189,2)</f>
        <v>12.27</v>
      </c>
    </row>
    <row r="190" spans="1:48" ht="15" thickBot="1">
      <c r="O190" s="216">
        <v>30</v>
      </c>
      <c r="P190" s="226">
        <v>12.609090909091</v>
      </c>
      <c r="Q190" s="227">
        <v>14.594545454545401</v>
      </c>
      <c r="R190" s="228">
        <f>ROUND((Q190-P190)/(Q175-P175),4)</f>
        <v>2.8E-3</v>
      </c>
      <c r="S190" s="229">
        <f>ROUND(P190-P175*R190,2)</f>
        <v>6.17</v>
      </c>
      <c r="T190" s="226">
        <v>16.674545454545399</v>
      </c>
      <c r="U190" s="227">
        <v>19.5163636363636</v>
      </c>
      <c r="V190" s="228">
        <f>ROUND((U190-T190)/(U175-T175),4)</f>
        <v>4.1000000000000003E-3</v>
      </c>
      <c r="W190" s="229">
        <f>ROUND(T190-T175*V190,2)</f>
        <v>7.24</v>
      </c>
      <c r="X190" s="226">
        <v>17.014545454545399</v>
      </c>
      <c r="Y190" s="227">
        <v>19.894545454545401</v>
      </c>
      <c r="Z190" s="228">
        <f>ROUND((Y190-X190)/(Y175-X175),4)</f>
        <v>4.1000000000000003E-3</v>
      </c>
      <c r="AA190" s="229">
        <f>ROUND(X190-X175*Z190,2)</f>
        <v>7.58</v>
      </c>
      <c r="AB190" s="226">
        <v>18.3</v>
      </c>
      <c r="AC190" s="233">
        <v>21.261818181818199</v>
      </c>
      <c r="AD190" s="228">
        <f>ROUND((AC190-AB190)/(AC175-AB175),4)</f>
        <v>4.1999999999999997E-3</v>
      </c>
      <c r="AE190" s="229">
        <f>ROUND(AB190-AB175*AD190,2)</f>
        <v>8.64</v>
      </c>
      <c r="AF190" s="226">
        <v>18.1072727272728</v>
      </c>
      <c r="AG190" s="227">
        <v>21.3363636363636</v>
      </c>
      <c r="AH190" s="228">
        <f>ROUND((AG190-AF190)/(AG175-AF175),4)</f>
        <v>4.5999999999999999E-3</v>
      </c>
      <c r="AI190" s="229">
        <f>ROUND(AF190-AF175*AH190,2)</f>
        <v>7.53</v>
      </c>
      <c r="AJ190" s="226">
        <v>23.374545454545402</v>
      </c>
      <c r="AK190" s="227">
        <v>27.716363636363599</v>
      </c>
      <c r="AL190" s="228">
        <f>ROUND((AK190-AJ190)/(AK175-AJ175),4)</f>
        <v>6.1999999999999998E-3</v>
      </c>
      <c r="AM190" s="229">
        <f>ROUND(AJ190-AJ175*AL190,2)</f>
        <v>9.11</v>
      </c>
      <c r="AN190" s="226">
        <v>24.250909090909001</v>
      </c>
      <c r="AO190" s="227">
        <v>28.650909090909099</v>
      </c>
      <c r="AP190" s="228">
        <f>ROUND((AO190-AN190)/(AO175-AN175),4)</f>
        <v>6.3E-3</v>
      </c>
      <c r="AQ190" s="229">
        <f>ROUND(AN190-AN175*AP190,2)</f>
        <v>9.76</v>
      </c>
      <c r="AR190" s="226">
        <v>26.754545454545401</v>
      </c>
      <c r="AS190" s="227">
        <v>31.441818181818199</v>
      </c>
      <c r="AT190" s="228">
        <f>ROUND((AS190-AR190)/(AS175-AR175),4)</f>
        <v>6.7000000000000002E-3</v>
      </c>
      <c r="AU190" s="229">
        <f>ROUND(AR190-AR175*AT190,2)</f>
        <v>11.34</v>
      </c>
    </row>
    <row r="191" spans="1:48" ht="15" thickBot="1">
      <c r="O191" s="224"/>
      <c r="P191" s="225"/>
      <c r="Q191" s="225"/>
      <c r="R191" s="225"/>
      <c r="S191" s="225"/>
      <c r="T191" s="225"/>
      <c r="U191" s="225"/>
      <c r="V191" s="225"/>
      <c r="W191" s="225"/>
      <c r="X191" s="225"/>
      <c r="Y191" s="225"/>
      <c r="Z191" s="225"/>
      <c r="AA191" s="225"/>
      <c r="AB191" s="225"/>
      <c r="AC191" s="225"/>
      <c r="AD191" s="225"/>
      <c r="AE191" s="225"/>
      <c r="AF191" s="225"/>
      <c r="AG191" s="225"/>
      <c r="AH191" s="225"/>
      <c r="AI191" s="225"/>
      <c r="AJ191" s="225"/>
      <c r="AK191" s="225"/>
      <c r="AL191" s="225"/>
      <c r="AM191" s="225"/>
      <c r="AN191" s="225"/>
      <c r="AO191" s="225"/>
      <c r="AP191" s="225"/>
      <c r="AQ191" s="225"/>
      <c r="AR191" s="225"/>
      <c r="AS191" s="225"/>
      <c r="AT191" s="225"/>
      <c r="AU191" s="225"/>
      <c r="AV191" s="225"/>
    </row>
    <row r="192" spans="1:48" ht="15" thickBot="1">
      <c r="E192" s="163"/>
      <c r="F192" s="596" t="s">
        <v>244</v>
      </c>
      <c r="G192" s="597"/>
      <c r="H192" s="597" t="s">
        <v>245</v>
      </c>
      <c r="I192" s="597"/>
      <c r="J192" s="597" t="s">
        <v>246</v>
      </c>
      <c r="K192" s="597"/>
      <c r="L192" s="597" t="s">
        <v>247</v>
      </c>
      <c r="M192" s="598"/>
      <c r="O192" s="204" t="s">
        <v>258</v>
      </c>
      <c r="P192" s="590" t="s">
        <v>292</v>
      </c>
      <c r="Q192" s="591"/>
      <c r="R192" s="591"/>
      <c r="S192" s="591"/>
      <c r="T192" s="591"/>
      <c r="U192" s="591"/>
      <c r="V192" s="591"/>
      <c r="W192" s="591"/>
      <c r="X192" s="591"/>
      <c r="Y192" s="591"/>
      <c r="Z192" s="591"/>
      <c r="AA192" s="591"/>
      <c r="AB192" s="591"/>
      <c r="AC192" s="591"/>
      <c r="AD192" s="591"/>
      <c r="AE192" s="592"/>
      <c r="AF192" s="590" t="s">
        <v>293</v>
      </c>
      <c r="AG192" s="591"/>
      <c r="AH192" s="591"/>
      <c r="AI192" s="591"/>
      <c r="AJ192" s="591"/>
      <c r="AK192" s="591"/>
      <c r="AL192" s="591"/>
      <c r="AM192" s="591"/>
      <c r="AN192" s="591"/>
      <c r="AO192" s="591"/>
      <c r="AP192" s="591"/>
      <c r="AQ192" s="591"/>
      <c r="AR192" s="591"/>
      <c r="AS192" s="591"/>
      <c r="AT192" s="591"/>
      <c r="AU192" s="592"/>
    </row>
    <row r="193" spans="1:47" ht="15" thickBot="1">
      <c r="E193" s="163"/>
      <c r="F193" s="221" t="s">
        <v>66</v>
      </c>
      <c r="G193" s="222" t="s">
        <v>249</v>
      </c>
      <c r="H193" s="222" t="s">
        <v>66</v>
      </c>
      <c r="I193" s="222" t="s">
        <v>249</v>
      </c>
      <c r="J193" s="222" t="s">
        <v>66</v>
      </c>
      <c r="K193" s="222" t="s">
        <v>249</v>
      </c>
      <c r="L193" s="222" t="s">
        <v>66</v>
      </c>
      <c r="M193" s="223" t="s">
        <v>249</v>
      </c>
      <c r="O193" s="205" t="s">
        <v>251</v>
      </c>
      <c r="P193" s="593" t="s">
        <v>276</v>
      </c>
      <c r="Q193" s="594"/>
      <c r="R193" s="594"/>
      <c r="S193" s="595"/>
      <c r="T193" s="593" t="s">
        <v>277</v>
      </c>
      <c r="U193" s="594"/>
      <c r="V193" s="594"/>
      <c r="W193" s="595"/>
      <c r="X193" s="593" t="s">
        <v>278</v>
      </c>
      <c r="Y193" s="594"/>
      <c r="Z193" s="594"/>
      <c r="AA193" s="595"/>
      <c r="AB193" s="593" t="s">
        <v>279</v>
      </c>
      <c r="AC193" s="594"/>
      <c r="AD193" s="594"/>
      <c r="AE193" s="595"/>
      <c r="AF193" s="593" t="s">
        <v>276</v>
      </c>
      <c r="AG193" s="594"/>
      <c r="AH193" s="594"/>
      <c r="AI193" s="595"/>
      <c r="AJ193" s="593" t="s">
        <v>277</v>
      </c>
      <c r="AK193" s="594"/>
      <c r="AL193" s="594"/>
      <c r="AM193" s="595"/>
      <c r="AN193" s="593" t="s">
        <v>278</v>
      </c>
      <c r="AO193" s="594"/>
      <c r="AP193" s="594"/>
      <c r="AQ193" s="595"/>
      <c r="AR193" s="593" t="s">
        <v>279</v>
      </c>
      <c r="AS193" s="594"/>
      <c r="AT193" s="594"/>
      <c r="AU193" s="595"/>
    </row>
    <row r="194" spans="1:47" ht="15" thickBot="1">
      <c r="A194" t="s">
        <v>248</v>
      </c>
      <c r="B194" s="163" t="e">
        <f>Задача_Расход</f>
        <v>#REF!</v>
      </c>
      <c r="D194" s="133">
        <v>1</v>
      </c>
      <c r="E194" s="133">
        <v>-40</v>
      </c>
      <c r="F194" s="220">
        <f>INDEX($R195:$AU209,$D194,1+VLOOKUP($B195,$B$351:$E$368,4,FALSE))</f>
        <v>0.01</v>
      </c>
      <c r="G194" s="220">
        <f>INDEX($R195:$AU209,$D194,2+VLOOKUP($B195,$B$351:$E$368,4,FALSE))</f>
        <v>22.66</v>
      </c>
      <c r="H194" s="220">
        <f>INDEX($R195:$AU209,$D194,5+VLOOKUP($B195,$B$351:$E$368,4,FALSE))</f>
        <v>1.11E-2</v>
      </c>
      <c r="I194" s="220">
        <f>INDEX($R195:$AU209,$D194,6+VLOOKUP($B195,$B$351:$E$368,4,FALSE))</f>
        <v>24.81</v>
      </c>
      <c r="J194" s="220">
        <f>INDEX($R195:$AU209,$D194,9+VLOOKUP($B195,$B$351:$E$368,4,FALSE))</f>
        <v>1.11E-2</v>
      </c>
      <c r="K194" s="220">
        <f>INDEX($R195:$AU209,$D194,10+VLOOKUP($B195,$B$351:$E$368,4,FALSE))</f>
        <v>25.45</v>
      </c>
      <c r="L194" s="220">
        <f>INDEX($R195:$AU209,$D194,13+VLOOKUP($B195,$B$351:$E$368,4,FALSE))</f>
        <v>1.1299999999999999E-2</v>
      </c>
      <c r="M194" s="220">
        <f>INDEX($R195:$AU209,$D194,14+VLOOKUP($B195,$B$351:$E$368,4,FALSE))</f>
        <v>26.91</v>
      </c>
      <c r="O194" s="206" t="s">
        <v>248</v>
      </c>
      <c r="P194" s="207">
        <v>3000</v>
      </c>
      <c r="Q194" s="208">
        <v>4000</v>
      </c>
      <c r="R194" s="208"/>
      <c r="S194" s="209"/>
      <c r="T194" s="207">
        <v>3000</v>
      </c>
      <c r="U194" s="208">
        <v>4000</v>
      </c>
      <c r="V194" s="208"/>
      <c r="W194" s="209"/>
      <c r="X194" s="207">
        <v>3000</v>
      </c>
      <c r="Y194" s="208">
        <v>4000</v>
      </c>
      <c r="Z194" s="208"/>
      <c r="AA194" s="209"/>
      <c r="AB194" s="207">
        <v>3000</v>
      </c>
      <c r="AC194" s="208">
        <v>4000</v>
      </c>
      <c r="AD194" s="208"/>
      <c r="AE194" s="209"/>
      <c r="AF194" s="207">
        <v>3000</v>
      </c>
      <c r="AG194" s="208">
        <v>4000</v>
      </c>
      <c r="AH194" s="208"/>
      <c r="AI194" s="209"/>
      <c r="AJ194" s="207">
        <v>3000</v>
      </c>
      <c r="AK194" s="208">
        <v>4000</v>
      </c>
      <c r="AL194" s="208"/>
      <c r="AM194" s="209"/>
      <c r="AN194" s="207">
        <v>3000</v>
      </c>
      <c r="AO194" s="208">
        <v>4000</v>
      </c>
      <c r="AP194" s="208"/>
      <c r="AQ194" s="209"/>
      <c r="AR194" s="207">
        <v>3000</v>
      </c>
      <c r="AS194" s="208">
        <v>4000</v>
      </c>
      <c r="AT194" s="208"/>
      <c r="AU194" s="209"/>
    </row>
    <row r="195" spans="1:47">
      <c r="A195" t="s">
        <v>250</v>
      </c>
      <c r="B195" s="163" t="s">
        <v>269</v>
      </c>
      <c r="D195" s="133">
        <v>2</v>
      </c>
      <c r="E195" s="133">
        <v>-35</v>
      </c>
      <c r="F195" s="203">
        <f>INDEX($R195:$AU209,$D195,1+VLOOKUP($B195,$B$351:$E$368,4,FALSE))</f>
        <v>9.4999999999999998E-3</v>
      </c>
      <c r="G195" s="203">
        <f>INDEX($R195:$AU209,$D195,2+VLOOKUP($B195,$B$351:$E$368,4,FALSE))</f>
        <v>21.62</v>
      </c>
      <c r="H195" s="203">
        <f>INDEX($R195:$AU209,$D195,5+VLOOKUP($B195,$B$351:$E$368,4,FALSE))</f>
        <v>1.06E-2</v>
      </c>
      <c r="I195" s="203">
        <f>INDEX($R195:$AU209,$D195,6+VLOOKUP($B195,$B$351:$E$368,4,FALSE))</f>
        <v>23.77</v>
      </c>
      <c r="J195" s="203">
        <f>INDEX($R195:$AU209,$D195,9+VLOOKUP($B195,$B$351:$E$368,4,FALSE))</f>
        <v>1.06E-2</v>
      </c>
      <c r="K195" s="203">
        <f>INDEX($R195:$AU209,$D195,10+VLOOKUP($B195,$B$351:$E$368,4,FALSE))</f>
        <v>24.41</v>
      </c>
      <c r="L195" s="203">
        <f>INDEX($R195:$AU209,$D195,13+VLOOKUP($B195,$B$351:$E$368,4,FALSE))</f>
        <v>1.0800000000000001E-2</v>
      </c>
      <c r="M195" s="203">
        <f>INDEX($R195:$AU209,$D195,14+VLOOKUP($B195,$B$351:$E$368,4,FALSE))</f>
        <v>25.85</v>
      </c>
      <c r="O195" s="210">
        <v>-40</v>
      </c>
      <c r="P195" s="211">
        <v>52.658181818181802</v>
      </c>
      <c r="Q195" s="212">
        <v>62.670303030303103</v>
      </c>
      <c r="R195" s="203">
        <f>ROUND((Q195-P195)/(Q194-P194),4)</f>
        <v>0.01</v>
      </c>
      <c r="S195" s="217">
        <f>ROUND(P195-P194*R195,2)</f>
        <v>22.66</v>
      </c>
      <c r="T195" s="211">
        <v>58.109696969696898</v>
      </c>
      <c r="U195" s="212">
        <v>69.16</v>
      </c>
      <c r="V195" s="203">
        <f>ROUND((U195-T195)/(U194-T194),4)</f>
        <v>1.11E-2</v>
      </c>
      <c r="W195" s="217">
        <f>ROUND(T195-T194*V195,2)</f>
        <v>24.81</v>
      </c>
      <c r="X195" s="211">
        <v>58.749696969696899</v>
      </c>
      <c r="Y195" s="212">
        <v>69.877575757575798</v>
      </c>
      <c r="Z195" s="203">
        <f>ROUND((Y195-X195)/(Y194-X194),4)</f>
        <v>1.11E-2</v>
      </c>
      <c r="AA195" s="217">
        <f>ROUND(X195-X194*Z195,2)</f>
        <v>25.45</v>
      </c>
      <c r="AB195" s="211">
        <v>60.812121212121198</v>
      </c>
      <c r="AC195" s="212">
        <v>72.122424242424202</v>
      </c>
      <c r="AD195" s="203">
        <f>ROUND((AC195-AB195)/(AC194-AB194),4)</f>
        <v>1.1299999999999999E-2</v>
      </c>
      <c r="AE195" s="217">
        <f>ROUND(AB195-AB194*AD195,2)</f>
        <v>26.91</v>
      </c>
      <c r="AF195" s="211">
        <v>70.5</v>
      </c>
      <c r="AG195" s="212">
        <v>85.398181818181797</v>
      </c>
      <c r="AH195" s="203">
        <f>ROUND((AG195-AF195)/(AG194-AF194),4)</f>
        <v>1.49E-2</v>
      </c>
      <c r="AI195" s="217">
        <f>ROUND(AF195-AF194*AH195,2)</f>
        <v>25.8</v>
      </c>
      <c r="AJ195" s="211">
        <v>77.400000000000006</v>
      </c>
      <c r="AK195" s="212">
        <v>93.835757575757597</v>
      </c>
      <c r="AL195" s="203">
        <f>ROUND((AK195-AJ195)/(AK194-AJ194),4)</f>
        <v>1.6400000000000001E-2</v>
      </c>
      <c r="AM195" s="217">
        <f>ROUND(AJ195-AJ194*AL195,2)</f>
        <v>28.2</v>
      </c>
      <c r="AN195" s="211">
        <v>78.7351515151515</v>
      </c>
      <c r="AO195" s="212">
        <v>95.315151515151499</v>
      </c>
      <c r="AP195" s="203">
        <f>ROUND((AO195-AN195)/(AO194-AN194),4)</f>
        <v>1.66E-2</v>
      </c>
      <c r="AQ195" s="217">
        <f>ROUND(AN195-AN194*AP195,2)</f>
        <v>28.94</v>
      </c>
      <c r="AR195" s="211">
        <v>82.775757575757595</v>
      </c>
      <c r="AS195" s="212">
        <v>99.875757575757603</v>
      </c>
      <c r="AT195" s="203">
        <f>ROUND((AS195-AR195)/(AS194-AR194),4)</f>
        <v>1.7100000000000001E-2</v>
      </c>
      <c r="AU195" s="217">
        <f>ROUND(AR195-AR194*AT195,2)</f>
        <v>31.48</v>
      </c>
    </row>
    <row r="196" spans="1:47">
      <c r="A196" t="s">
        <v>251</v>
      </c>
      <c r="B196" s="163" t="e">
        <f>Задача_НагревательТеплоноситель</f>
        <v>#REF!</v>
      </c>
      <c r="D196" s="133">
        <v>3</v>
      </c>
      <c r="E196" s="133">
        <v>-30</v>
      </c>
      <c r="F196" s="203">
        <f>INDEX($R195:$AU209,$D196,1+VLOOKUP($B195,$B$351:$E$368,4,FALSE))</f>
        <v>8.9999999999999993E-3</v>
      </c>
      <c r="G196" s="203">
        <f>INDEX($R195:$AU209,$D196,2+VLOOKUP($B195,$B$351:$E$368,4,FALSE))</f>
        <v>20.6</v>
      </c>
      <c r="H196" s="203">
        <f>INDEX($R195:$AU209,$D196,5+VLOOKUP($B195,$B$351:$E$368,4,FALSE))</f>
        <v>1.01E-2</v>
      </c>
      <c r="I196" s="203">
        <f>INDEX($R195:$AU209,$D196,6+VLOOKUP($B195,$B$351:$E$368,4,FALSE))</f>
        <v>22.7</v>
      </c>
      <c r="J196" s="203">
        <f>INDEX($R195:$AU209,$D196,9+VLOOKUP($B195,$B$351:$E$368,4,FALSE))</f>
        <v>1.01E-2</v>
      </c>
      <c r="K196" s="203">
        <f>INDEX($R195:$AU209,$D196,10+VLOOKUP($B195,$B$351:$E$368,4,FALSE))</f>
        <v>23.4</v>
      </c>
      <c r="L196" s="203">
        <f>INDEX($R195:$AU209,$D196,13+VLOOKUP($B195,$B$351:$E$368,4,FALSE))</f>
        <v>1.03E-2</v>
      </c>
      <c r="M196" s="203">
        <f>INDEX($R195:$AU209,$D196,14+VLOOKUP($B195,$B$351:$E$368,4,FALSE))</f>
        <v>24.8</v>
      </c>
      <c r="O196" s="215">
        <v>-35</v>
      </c>
      <c r="P196" s="211">
        <v>50.12</v>
      </c>
      <c r="Q196" s="212">
        <v>59.633333333333397</v>
      </c>
      <c r="R196" s="203">
        <f>ROUND((Q196-P196)/(Q194-P194),4)</f>
        <v>9.4999999999999998E-3</v>
      </c>
      <c r="S196" s="217">
        <f>ROUND(P196-P194*R196,2)</f>
        <v>21.62</v>
      </c>
      <c r="T196" s="211">
        <v>55.566666666666599</v>
      </c>
      <c r="U196" s="212">
        <v>66.12</v>
      </c>
      <c r="V196" s="203">
        <f>ROUND((U196-T196)/(U194-T194),4)</f>
        <v>1.06E-2</v>
      </c>
      <c r="W196" s="217">
        <f>ROUND(T196-T194*V196,2)</f>
        <v>23.77</v>
      </c>
      <c r="X196" s="211">
        <v>56.206666666666599</v>
      </c>
      <c r="Y196" s="212">
        <v>66.8333333333333</v>
      </c>
      <c r="Z196" s="203">
        <f>ROUND((Y196-X196)/(Y194-X194),4)</f>
        <v>1.06E-2</v>
      </c>
      <c r="AA196" s="217">
        <f>ROUND(X196-X194*Z196,2)</f>
        <v>24.41</v>
      </c>
      <c r="AB196" s="211">
        <v>58.253333333333302</v>
      </c>
      <c r="AC196" s="212">
        <v>69.066666666666706</v>
      </c>
      <c r="AD196" s="203">
        <f>ROUND((AC196-AB196)/(AC194-AB194),4)</f>
        <v>1.0800000000000001E-2</v>
      </c>
      <c r="AE196" s="217">
        <f>ROUND(AB196-AB194*AD196,2)</f>
        <v>25.85</v>
      </c>
      <c r="AF196" s="211">
        <v>67.2</v>
      </c>
      <c r="AG196" s="212">
        <v>81.38</v>
      </c>
      <c r="AH196" s="203">
        <f>ROUND((AG196-AF196)/(AG194-AF194),4)</f>
        <v>1.4200000000000001E-2</v>
      </c>
      <c r="AI196" s="217">
        <f>ROUND(AF196-AF194*AH196,2)</f>
        <v>24.6</v>
      </c>
      <c r="AJ196" s="211">
        <v>74.099999999999994</v>
      </c>
      <c r="AK196" s="212">
        <v>89.813333333333304</v>
      </c>
      <c r="AL196" s="203">
        <f>ROUND((AK196-AJ196)/(AK194-AJ194),4)</f>
        <v>1.5699999999999999E-2</v>
      </c>
      <c r="AM196" s="217">
        <f>ROUND(AJ196-AJ194*AL196,2)</f>
        <v>27</v>
      </c>
      <c r="AN196" s="211">
        <v>75.426666666666705</v>
      </c>
      <c r="AO196" s="212">
        <v>91.286666666666704</v>
      </c>
      <c r="AP196" s="203">
        <f>ROUND((AO196-AN196)/(AO194-AN194),4)</f>
        <v>1.5900000000000001E-2</v>
      </c>
      <c r="AQ196" s="217">
        <f>ROUND(AN196-AN194*AP196,2)</f>
        <v>27.73</v>
      </c>
      <c r="AR196" s="211">
        <v>79.433333333333294</v>
      </c>
      <c r="AS196" s="212">
        <v>95.813333333333304</v>
      </c>
      <c r="AT196" s="203">
        <f>ROUND((AS196-AR196)/(AS194-AR194),4)</f>
        <v>1.6400000000000001E-2</v>
      </c>
      <c r="AU196" s="217">
        <f>ROUND(AR196-AR194*AT196,2)</f>
        <v>30.23</v>
      </c>
    </row>
    <row r="197" spans="1:47">
      <c r="A197" t="s">
        <v>253</v>
      </c>
      <c r="B197" s="163" t="e">
        <f>VLOOKUP("700x400",ПП_Расчет!C$10:F$19,4,0)</f>
        <v>#REF!</v>
      </c>
      <c r="D197" s="133">
        <v>4</v>
      </c>
      <c r="E197" s="133">
        <v>-25</v>
      </c>
      <c r="F197" s="203">
        <f>INDEX($R195:$AU209,$D197,1+VLOOKUP($B195,$B$351:$E$368,4,FALSE))</f>
        <v>8.6E-3</v>
      </c>
      <c r="G197" s="203">
        <f>INDEX($R195:$AU209,$D197,2+VLOOKUP($B195,$B$351:$E$368,4,FALSE))</f>
        <v>19.2</v>
      </c>
      <c r="H197" s="203">
        <f>INDEX($R195:$AU209,$D197,5+VLOOKUP($B195,$B$351:$E$368,4,FALSE))</f>
        <v>9.4999999999999998E-3</v>
      </c>
      <c r="I197" s="203">
        <f>INDEX($R195:$AU209,$D197,6+VLOOKUP($B195,$B$351:$E$368,4,FALSE))</f>
        <v>22</v>
      </c>
      <c r="J197" s="203">
        <f>INDEX($R195:$AU209,$D197,9+VLOOKUP($B195,$B$351:$E$368,4,FALSE))</f>
        <v>9.5999999999999992E-3</v>
      </c>
      <c r="K197" s="203">
        <f>INDEX($R195:$AU209,$D197,10+VLOOKUP($B195,$B$351:$E$368,4,FALSE))</f>
        <v>22.3</v>
      </c>
      <c r="L197" s="203">
        <f>INDEX($R195:$AU209,$D197,13+VLOOKUP($B195,$B$351:$E$368,4,FALSE))</f>
        <v>9.9000000000000008E-3</v>
      </c>
      <c r="M197" s="203">
        <f>INDEX($R195:$AU209,$D197,14+VLOOKUP($B195,$B$351:$E$368,4,FALSE))</f>
        <v>23.4</v>
      </c>
      <c r="O197" s="215">
        <v>-30</v>
      </c>
      <c r="P197" s="211">
        <v>47.6</v>
      </c>
      <c r="Q197" s="212">
        <v>56.6</v>
      </c>
      <c r="R197" s="203">
        <f>ROUND((Q197-P197)/(Q194-P194),4)</f>
        <v>8.9999999999999993E-3</v>
      </c>
      <c r="S197" s="217">
        <f>ROUND(P197-P194*R197,2)</f>
        <v>20.6</v>
      </c>
      <c r="T197" s="211">
        <v>53</v>
      </c>
      <c r="U197" s="212">
        <v>63.1</v>
      </c>
      <c r="V197" s="203">
        <f>ROUND((U197-T197)/(U194-T194),4)</f>
        <v>1.01E-2</v>
      </c>
      <c r="W197" s="217">
        <f>ROUND(T197-T194*V197,2)</f>
        <v>22.7</v>
      </c>
      <c r="X197" s="211">
        <v>53.7</v>
      </c>
      <c r="Y197" s="212">
        <v>63.8</v>
      </c>
      <c r="Z197" s="203">
        <f>ROUND((Y197-X197)/(Y194-X194),4)</f>
        <v>1.01E-2</v>
      </c>
      <c r="AA197" s="217">
        <f>ROUND(X197-X194*Z197,2)</f>
        <v>23.4</v>
      </c>
      <c r="AB197" s="211">
        <v>55.7</v>
      </c>
      <c r="AC197" s="212">
        <v>66</v>
      </c>
      <c r="AD197" s="203">
        <f>ROUND((AC197-AB197)/(AC194-AB194),4)</f>
        <v>1.03E-2</v>
      </c>
      <c r="AE197" s="217">
        <f>ROUND(AB197-AB194*AD197,2)</f>
        <v>24.8</v>
      </c>
      <c r="AF197" s="211">
        <v>63.9</v>
      </c>
      <c r="AG197" s="212">
        <v>77.400000000000006</v>
      </c>
      <c r="AH197" s="203">
        <f>ROUND((AG197-AF197)/(AG194-AF194),4)</f>
        <v>1.35E-2</v>
      </c>
      <c r="AI197" s="217">
        <f>ROUND(AF197-AF194*AH197,2)</f>
        <v>23.4</v>
      </c>
      <c r="AJ197" s="211">
        <v>70.8</v>
      </c>
      <c r="AK197" s="212">
        <v>85.8</v>
      </c>
      <c r="AL197" s="203">
        <f>ROUND((AK197-AJ197)/(AK194-AJ194),4)</f>
        <v>1.4999999999999999E-2</v>
      </c>
      <c r="AM197" s="217">
        <f>ROUND(AJ197-AJ194*AL197,2)</f>
        <v>25.8</v>
      </c>
      <c r="AN197" s="211">
        <v>72.099999999999994</v>
      </c>
      <c r="AO197" s="212">
        <v>87.3</v>
      </c>
      <c r="AP197" s="203">
        <f>ROUND((AO197-AN197)/(AO194-AN194),4)</f>
        <v>1.52E-2</v>
      </c>
      <c r="AQ197" s="217">
        <f>ROUND(AN197-AN194*AP197,2)</f>
        <v>26.5</v>
      </c>
      <c r="AR197" s="211">
        <v>76.099999999999994</v>
      </c>
      <c r="AS197" s="212">
        <v>91.7</v>
      </c>
      <c r="AT197" s="203">
        <f>ROUND((AS197-AR197)/(AS194-AR194),4)</f>
        <v>1.5599999999999999E-2</v>
      </c>
      <c r="AU197" s="217">
        <f>ROUND(AR197-AR194*AT197,2)</f>
        <v>29.3</v>
      </c>
    </row>
    <row r="198" spans="1:47">
      <c r="D198" s="133">
        <v>5</v>
      </c>
      <c r="E198" s="133">
        <v>-20</v>
      </c>
      <c r="F198" s="203">
        <f>INDEX($R195:$AU209,$D198,1+VLOOKUP($B195,$B$351:$E$368,4,FALSE))</f>
        <v>8.0000000000000002E-3</v>
      </c>
      <c r="G198" s="203">
        <f>INDEX($R195:$AU209,$D198,2+VLOOKUP($B195,$B$351:$E$368,4,FALSE))</f>
        <v>18.5</v>
      </c>
      <c r="H198" s="203">
        <f>INDEX($R195:$AU209,$D198,5+VLOOKUP($B195,$B$351:$E$368,4,FALSE))</f>
        <v>9.1000000000000004E-3</v>
      </c>
      <c r="I198" s="203">
        <f>INDEX($R195:$AU209,$D198,6+VLOOKUP($B195,$B$351:$E$368,4,FALSE))</f>
        <v>20.6</v>
      </c>
      <c r="J198" s="203">
        <f>INDEX($R195:$AU209,$D198,9+VLOOKUP($B195,$B$351:$E$368,4,FALSE))</f>
        <v>9.1000000000000004E-3</v>
      </c>
      <c r="K198" s="203">
        <f>INDEX($R195:$AU209,$D198,10+VLOOKUP($B195,$B$351:$E$368,4,FALSE))</f>
        <v>21.3</v>
      </c>
      <c r="L198" s="203">
        <f>INDEX($R195:$AU209,$D198,13+VLOOKUP($B195,$B$351:$E$368,4,FALSE))</f>
        <v>9.2999999999999992E-3</v>
      </c>
      <c r="M198" s="203">
        <f>INDEX($R195:$AU209,$D198,14+VLOOKUP($B195,$B$351:$E$368,4,FALSE))</f>
        <v>22.7</v>
      </c>
      <c r="O198" s="215">
        <v>-25</v>
      </c>
      <c r="P198" s="211">
        <v>45</v>
      </c>
      <c r="Q198" s="212">
        <v>53.6</v>
      </c>
      <c r="R198" s="203">
        <f>ROUND((Q198-P198)/(Q194-P194),4)</f>
        <v>8.6E-3</v>
      </c>
      <c r="S198" s="217">
        <f>ROUND(P198-P194*R198,2)</f>
        <v>19.2</v>
      </c>
      <c r="T198" s="211">
        <v>50.5</v>
      </c>
      <c r="U198" s="212">
        <v>60</v>
      </c>
      <c r="V198" s="203">
        <f>ROUND((U198-T198)/(U194-T194),4)</f>
        <v>9.4999999999999998E-3</v>
      </c>
      <c r="W198" s="217">
        <f>ROUND(T198-T194*V198,2)</f>
        <v>22</v>
      </c>
      <c r="X198" s="211">
        <v>51.1</v>
      </c>
      <c r="Y198" s="212">
        <v>60.7</v>
      </c>
      <c r="Z198" s="203">
        <f>ROUND((Y198-X198)/(Y194-X194),4)</f>
        <v>9.5999999999999992E-3</v>
      </c>
      <c r="AA198" s="217">
        <f>ROUND(X198-X194*Z198,2)</f>
        <v>22.3</v>
      </c>
      <c r="AB198" s="211">
        <v>53.1</v>
      </c>
      <c r="AC198" s="212">
        <v>63</v>
      </c>
      <c r="AD198" s="203">
        <f>ROUND((AC198-AB198)/(AC194-AB194),4)</f>
        <v>9.9000000000000008E-3</v>
      </c>
      <c r="AE198" s="217">
        <f>ROUND(AB198-AB194*AD198,2)</f>
        <v>23.4</v>
      </c>
      <c r="AF198" s="211">
        <v>60.6</v>
      </c>
      <c r="AG198" s="212">
        <v>73.3</v>
      </c>
      <c r="AH198" s="203">
        <f>ROUND((AG198-AF198)/(AG194-AF194),4)</f>
        <v>1.2699999999999999E-2</v>
      </c>
      <c r="AI198" s="217">
        <f>ROUND(AF198-AF194*AH198,2)</f>
        <v>22.5</v>
      </c>
      <c r="AJ198" s="211">
        <v>67.5</v>
      </c>
      <c r="AK198" s="212">
        <v>81.8</v>
      </c>
      <c r="AL198" s="203">
        <f>ROUND((AK198-AJ198)/(AK194-AJ194),4)</f>
        <v>1.43E-2</v>
      </c>
      <c r="AM198" s="217">
        <f>ROUND(AJ198-AJ194*AL198,2)</f>
        <v>24.6</v>
      </c>
      <c r="AN198" s="211">
        <v>68.8</v>
      </c>
      <c r="AO198" s="212">
        <v>83.2</v>
      </c>
      <c r="AP198" s="203">
        <f>ROUND((AO198-AN198)/(AO194-AN194),4)</f>
        <v>1.44E-2</v>
      </c>
      <c r="AQ198" s="217">
        <f>ROUND(AN198-AN194*AP198,2)</f>
        <v>25.6</v>
      </c>
      <c r="AR198" s="211">
        <v>72.7</v>
      </c>
      <c r="AS198" s="212">
        <v>87.7</v>
      </c>
      <c r="AT198" s="203">
        <f>ROUND((AS198-AR198)/(AS194-AR194),4)</f>
        <v>1.4999999999999999E-2</v>
      </c>
      <c r="AU198" s="217">
        <f>ROUND(AR198-AR194*AT198,2)</f>
        <v>27.7</v>
      </c>
    </row>
    <row r="199" spans="1:47">
      <c r="A199" t="s">
        <v>66</v>
      </c>
      <c r="B199" s="163" t="e">
        <f>VLOOKUP(B197,E194:M208,VLOOKUP(B196,B$345:D$348,2,FALSE))</f>
        <v>#REF!</v>
      </c>
      <c r="D199" s="133">
        <v>6</v>
      </c>
      <c r="E199" s="133">
        <v>-15</v>
      </c>
      <c r="F199" s="203">
        <f>INDEX($R195:$AU209,$D199,1+VLOOKUP($B195,$B$351:$E$368,4,FALSE))</f>
        <v>7.4999999999999997E-3</v>
      </c>
      <c r="G199" s="203">
        <f>INDEX($R195:$AU209,$D199,2+VLOOKUP($B195,$B$351:$E$368,4,FALSE))</f>
        <v>17.5</v>
      </c>
      <c r="H199" s="203">
        <f>INDEX($R195:$AU209,$D199,5+VLOOKUP($B195,$B$351:$E$368,4,FALSE))</f>
        <v>8.6E-3</v>
      </c>
      <c r="I199" s="203">
        <f>INDEX($R195:$AU209,$D199,6+VLOOKUP($B195,$B$351:$E$368,4,FALSE))</f>
        <v>19.600000000000001</v>
      </c>
      <c r="J199" s="203">
        <f>INDEX($R195:$AU209,$D199,9+VLOOKUP($B195,$B$351:$E$368,4,FALSE))</f>
        <v>8.6999999999999994E-3</v>
      </c>
      <c r="K199" s="203">
        <f>INDEX($R195:$AU209,$D199,10+VLOOKUP($B195,$B$351:$E$368,4,FALSE))</f>
        <v>19.899999999999999</v>
      </c>
      <c r="L199" s="203">
        <f>INDEX($R195:$AU209,$D199,13+VLOOKUP($B195,$B$351:$E$368,4,FALSE))</f>
        <v>8.8000000000000005E-3</v>
      </c>
      <c r="M199" s="203">
        <f>INDEX($R195:$AU209,$D199,14+VLOOKUP($B195,$B$351:$E$368,4,FALSE))</f>
        <v>21.6</v>
      </c>
      <c r="O199" s="215">
        <v>-20</v>
      </c>
      <c r="P199" s="211">
        <v>42.5</v>
      </c>
      <c r="Q199" s="212">
        <v>50.5</v>
      </c>
      <c r="R199" s="203">
        <f>ROUND((Q199-P199)/(Q194-P194),4)</f>
        <v>8.0000000000000002E-3</v>
      </c>
      <c r="S199" s="217">
        <f>ROUND(P199-P194*R199,2)</f>
        <v>18.5</v>
      </c>
      <c r="T199" s="211">
        <v>47.9</v>
      </c>
      <c r="U199" s="212">
        <v>57</v>
      </c>
      <c r="V199" s="203">
        <f>ROUND((U199-T199)/(U194-T194),4)</f>
        <v>9.1000000000000004E-3</v>
      </c>
      <c r="W199" s="217">
        <f>ROUND(T199-T194*V199,2)</f>
        <v>20.6</v>
      </c>
      <c r="X199" s="211">
        <v>48.6</v>
      </c>
      <c r="Y199" s="212">
        <v>57.7</v>
      </c>
      <c r="Z199" s="203">
        <f>ROUND((Y199-X199)/(Y194-X194),4)</f>
        <v>9.1000000000000004E-3</v>
      </c>
      <c r="AA199" s="217">
        <f>ROUND(X199-X194*Z199,2)</f>
        <v>21.3</v>
      </c>
      <c r="AB199" s="211">
        <v>50.6</v>
      </c>
      <c r="AC199" s="212">
        <v>59.9</v>
      </c>
      <c r="AD199" s="203">
        <f>ROUND((AC199-AB199)/(AC194-AB194),4)</f>
        <v>9.2999999999999992E-3</v>
      </c>
      <c r="AE199" s="217">
        <f>ROUND(AB199-AB194*AD199,2)</f>
        <v>22.7</v>
      </c>
      <c r="AF199" s="211">
        <v>57.3</v>
      </c>
      <c r="AG199" s="212">
        <v>69.3</v>
      </c>
      <c r="AH199" s="203">
        <f>ROUND((AG199-AF199)/(AG194-AF194),4)</f>
        <v>1.2E-2</v>
      </c>
      <c r="AI199" s="217">
        <f>ROUND(AF199-AF194*AH199,2)</f>
        <v>21.3</v>
      </c>
      <c r="AJ199" s="211">
        <v>64.2</v>
      </c>
      <c r="AK199" s="212">
        <v>77.7</v>
      </c>
      <c r="AL199" s="203">
        <f>ROUND((AK199-AJ199)/(AK194-AJ194),4)</f>
        <v>1.35E-2</v>
      </c>
      <c r="AM199" s="217">
        <f>ROUND(AJ199-AJ194*AL199,2)</f>
        <v>23.7</v>
      </c>
      <c r="AN199" s="211">
        <v>65.5</v>
      </c>
      <c r="AO199" s="212">
        <v>79.2</v>
      </c>
      <c r="AP199" s="203">
        <f>ROUND((AO199-AN199)/(AO194-AN194),4)</f>
        <v>1.37E-2</v>
      </c>
      <c r="AQ199" s="217">
        <f>ROUND(AN199-AN194*AP199,2)</f>
        <v>24.4</v>
      </c>
      <c r="AR199" s="211">
        <v>69.400000000000006</v>
      </c>
      <c r="AS199" s="212">
        <v>83.6</v>
      </c>
      <c r="AT199" s="203">
        <f>ROUND((AS199-AR199)/(AS194-AR194),4)</f>
        <v>1.4200000000000001E-2</v>
      </c>
      <c r="AU199" s="217">
        <f>ROUND(AR199-AR194*AT199,2)</f>
        <v>26.8</v>
      </c>
    </row>
    <row r="200" spans="1:47">
      <c r="A200" t="s">
        <v>249</v>
      </c>
      <c r="B200" s="163" t="e">
        <f>VLOOKUP(B197,E194:M208,VLOOKUP(B196,B$345:D$348,3,FALSE))</f>
        <v>#REF!</v>
      </c>
      <c r="D200" s="133">
        <v>7</v>
      </c>
      <c r="E200" s="133">
        <v>-10</v>
      </c>
      <c r="F200" s="203">
        <f>INDEX($R195:$AU209,$D200,1+VLOOKUP($B195,$B$351:$E$368,4,FALSE))</f>
        <v>7.0000000000000001E-3</v>
      </c>
      <c r="G200" s="203">
        <f>INDEX($R195:$AU209,$D200,2+VLOOKUP($B195,$B$351:$E$368,4,FALSE))</f>
        <v>16.399999999999999</v>
      </c>
      <c r="H200" s="203">
        <f>INDEX($R195:$AU209,$D200,5+VLOOKUP($B195,$B$351:$E$368,4,FALSE))</f>
        <v>8.0000000000000002E-3</v>
      </c>
      <c r="I200" s="203">
        <f>INDEX($R195:$AU209,$D200,6+VLOOKUP($B195,$B$351:$E$368,4,FALSE))</f>
        <v>18.899999999999999</v>
      </c>
      <c r="J200" s="203">
        <f>INDEX($R195:$AU209,$D200,9+VLOOKUP($B195,$B$351:$E$368,4,FALSE))</f>
        <v>8.0999999999999996E-3</v>
      </c>
      <c r="K200" s="203">
        <f>INDEX($R195:$AU209,$D200,10+VLOOKUP($B195,$B$351:$E$368,4,FALSE))</f>
        <v>19.2</v>
      </c>
      <c r="L200" s="203">
        <f>INDEX($R195:$AU209,$D200,13+VLOOKUP($B195,$B$351:$E$368,4,FALSE))</f>
        <v>8.3000000000000001E-3</v>
      </c>
      <c r="M200" s="203">
        <f>INDEX($R195:$AU209,$D200,14+VLOOKUP($B195,$B$351:$E$368,4,FALSE))</f>
        <v>20.6</v>
      </c>
      <c r="O200" s="215">
        <v>-15</v>
      </c>
      <c r="P200" s="211">
        <v>40</v>
      </c>
      <c r="Q200" s="212">
        <v>47.5</v>
      </c>
      <c r="R200" s="203">
        <f>ROUND((Q200-P200)/(Q194-P194),4)</f>
        <v>7.4999999999999997E-3</v>
      </c>
      <c r="S200" s="217">
        <f>ROUND(P200-P194*R200,2)</f>
        <v>17.5</v>
      </c>
      <c r="T200" s="211">
        <v>45.4</v>
      </c>
      <c r="U200" s="212">
        <v>54</v>
      </c>
      <c r="V200" s="203">
        <f>ROUND((U200-T200)/(U194-T194),4)</f>
        <v>8.6E-3</v>
      </c>
      <c r="W200" s="217">
        <f>ROUND(T200-T194*V200,2)</f>
        <v>19.600000000000001</v>
      </c>
      <c r="X200" s="211">
        <v>46</v>
      </c>
      <c r="Y200" s="212">
        <v>54.7</v>
      </c>
      <c r="Z200" s="203">
        <f>ROUND((Y200-X200)/(Y194-X194),4)</f>
        <v>8.6999999999999994E-3</v>
      </c>
      <c r="AA200" s="217">
        <f>ROUND(X200-X194*Z200,2)</f>
        <v>19.899999999999999</v>
      </c>
      <c r="AB200" s="211">
        <v>48</v>
      </c>
      <c r="AC200" s="212">
        <v>56.8</v>
      </c>
      <c r="AD200" s="203">
        <f>ROUND((AC200-AB200)/(AC194-AB194),4)</f>
        <v>8.8000000000000005E-3</v>
      </c>
      <c r="AE200" s="217">
        <f>ROUND(AB200-AB194*AD200,2)</f>
        <v>21.6</v>
      </c>
      <c r="AF200" s="211">
        <v>54</v>
      </c>
      <c r="AG200" s="212">
        <v>65.3</v>
      </c>
      <c r="AH200" s="203">
        <f>ROUND((AG200-AF200)/(AG194-AF194),4)</f>
        <v>1.1299999999999999E-2</v>
      </c>
      <c r="AI200" s="217">
        <f>ROUND(AF200-AF194*AH200,2)</f>
        <v>20.100000000000001</v>
      </c>
      <c r="AJ200" s="211">
        <v>60.9</v>
      </c>
      <c r="AK200" s="212">
        <v>73.7</v>
      </c>
      <c r="AL200" s="203">
        <f>ROUND((AK200-AJ200)/(AK194-AJ194),4)</f>
        <v>1.2800000000000001E-2</v>
      </c>
      <c r="AM200" s="217">
        <f>ROUND(AJ200-AJ194*AL200,2)</f>
        <v>22.5</v>
      </c>
      <c r="AN200" s="211">
        <v>62.2</v>
      </c>
      <c r="AO200" s="212">
        <v>75.099999999999994</v>
      </c>
      <c r="AP200" s="203">
        <f>ROUND((AO200-AN200)/(AO194-AN194),4)</f>
        <v>1.29E-2</v>
      </c>
      <c r="AQ200" s="217">
        <f>ROUND(AN200-AN194*AP200,2)</f>
        <v>23.5</v>
      </c>
      <c r="AR200" s="211">
        <v>66.099999999999994</v>
      </c>
      <c r="AS200" s="212">
        <v>79.599999999999994</v>
      </c>
      <c r="AT200" s="203">
        <f>ROUND((AS200-AR200)/(AS194-AR194),4)</f>
        <v>1.35E-2</v>
      </c>
      <c r="AU200" s="217">
        <f>ROUND(AR200-AR194*AT200,2)</f>
        <v>25.6</v>
      </c>
    </row>
    <row r="201" spans="1:47">
      <c r="D201" s="133">
        <v>8</v>
      </c>
      <c r="E201" s="133">
        <v>-5</v>
      </c>
      <c r="F201" s="203">
        <f>INDEX($R195:$AU209,$D201,1+VLOOKUP($B195,$B$351:$E$368,4,FALSE))</f>
        <v>6.4999999999999997E-3</v>
      </c>
      <c r="G201" s="203">
        <f>INDEX($R195:$AU209,$D201,2+VLOOKUP($B195,$B$351:$E$368,4,FALSE))</f>
        <v>15.4</v>
      </c>
      <c r="H201" s="203">
        <f>INDEX($R195:$AU209,$D201,5+VLOOKUP($B195,$B$351:$E$368,4,FALSE))</f>
        <v>7.6E-3</v>
      </c>
      <c r="I201" s="203">
        <f>INDEX($R195:$AU209,$D201,6+VLOOKUP($B195,$B$351:$E$368,4,FALSE))</f>
        <v>17.5</v>
      </c>
      <c r="J201" s="203">
        <f>INDEX($R195:$AU209,$D201,9+VLOOKUP($B195,$B$351:$E$368,4,FALSE))</f>
        <v>7.7000000000000002E-3</v>
      </c>
      <c r="K201" s="203">
        <f>INDEX($R195:$AU209,$D201,10+VLOOKUP($B195,$B$351:$E$368,4,FALSE))</f>
        <v>17.8</v>
      </c>
      <c r="L201" s="203">
        <f>INDEX($R195:$AU209,$D201,13+VLOOKUP($B195,$B$351:$E$368,4,FALSE))</f>
        <v>7.7999999999999996E-3</v>
      </c>
      <c r="M201" s="203">
        <f>INDEX($R195:$AU209,$D201,14+VLOOKUP($B195,$B$351:$E$368,4,FALSE))</f>
        <v>19.5</v>
      </c>
      <c r="O201" s="215">
        <v>-10</v>
      </c>
      <c r="P201" s="211">
        <v>37.4</v>
      </c>
      <c r="Q201" s="212">
        <v>44.4</v>
      </c>
      <c r="R201" s="203">
        <f>ROUND((Q201-P201)/(Q194-P194),4)</f>
        <v>7.0000000000000001E-3</v>
      </c>
      <c r="S201" s="217">
        <f>ROUND(P201-P194*R201,2)</f>
        <v>16.399999999999999</v>
      </c>
      <c r="T201" s="211">
        <v>42.9</v>
      </c>
      <c r="U201" s="212">
        <v>50.9</v>
      </c>
      <c r="V201" s="203">
        <f>ROUND((U201-T201)/(U194-T194),4)</f>
        <v>8.0000000000000002E-3</v>
      </c>
      <c r="W201" s="217">
        <f>ROUND(T201-T194*V201,2)</f>
        <v>18.899999999999999</v>
      </c>
      <c r="X201" s="211">
        <v>43.5</v>
      </c>
      <c r="Y201" s="212">
        <v>51.6</v>
      </c>
      <c r="Z201" s="203">
        <f>ROUND((Y201-X201)/(Y194-X194),4)</f>
        <v>8.0999999999999996E-3</v>
      </c>
      <c r="AA201" s="217">
        <f>ROUND(X201-X194*Z201,2)</f>
        <v>19.2</v>
      </c>
      <c r="AB201" s="211">
        <v>45.5</v>
      </c>
      <c r="AC201" s="212">
        <v>53.8</v>
      </c>
      <c r="AD201" s="203">
        <f>ROUND((AC201-AB201)/(AC194-AB194),4)</f>
        <v>8.3000000000000001E-3</v>
      </c>
      <c r="AE201" s="217">
        <f>ROUND(AB201-AB194*AD201,2)</f>
        <v>20.6</v>
      </c>
      <c r="AF201" s="211">
        <v>50.7</v>
      </c>
      <c r="AG201" s="212">
        <v>61.3</v>
      </c>
      <c r="AH201" s="203">
        <f>ROUND((AG201-AF201)/(AG194-AF194),4)</f>
        <v>1.06E-2</v>
      </c>
      <c r="AI201" s="217">
        <f>ROUND(AF201-AF194*AH201,2)</f>
        <v>18.899999999999999</v>
      </c>
      <c r="AJ201" s="211">
        <v>57.6</v>
      </c>
      <c r="AK201" s="212">
        <v>69.7</v>
      </c>
      <c r="AL201" s="203">
        <f>ROUND((AK201-AJ201)/(AK194-AJ194),4)</f>
        <v>1.21E-2</v>
      </c>
      <c r="AM201" s="217">
        <f>ROUND(AJ201-AJ194*AL201,2)</f>
        <v>21.3</v>
      </c>
      <c r="AN201" s="211">
        <v>58.9</v>
      </c>
      <c r="AO201" s="212">
        <v>71.2</v>
      </c>
      <c r="AP201" s="203">
        <f>ROUND((AO201-AN201)/(AO194-AN194),4)</f>
        <v>1.23E-2</v>
      </c>
      <c r="AQ201" s="217">
        <f>ROUND(AN201-AN194*AP201,2)</f>
        <v>22</v>
      </c>
      <c r="AR201" s="211">
        <v>62.7</v>
      </c>
      <c r="AS201" s="212">
        <v>75.5</v>
      </c>
      <c r="AT201" s="203">
        <f>ROUND((AS201-AR201)/(AS194-AR194),4)</f>
        <v>1.2800000000000001E-2</v>
      </c>
      <c r="AU201" s="217">
        <f>ROUND(AR201-AR194*AT201,2)</f>
        <v>24.3</v>
      </c>
    </row>
    <row r="202" spans="1:47">
      <c r="A202" t="s">
        <v>254</v>
      </c>
      <c r="B202" s="163" t="e">
        <f>B194*B199+B200</f>
        <v>#REF!</v>
      </c>
      <c r="D202" s="133">
        <v>9</v>
      </c>
      <c r="E202" s="133">
        <v>0</v>
      </c>
      <c r="F202" s="203">
        <f>INDEX($R195:$AU209,$D202,1+VLOOKUP($B195,$B$351:$E$368,4,FALSE))</f>
        <v>6.0000000000000001E-3</v>
      </c>
      <c r="G202" s="203">
        <f>INDEX($R195:$AU209,$D202,2+VLOOKUP($B195,$B$351:$E$368,4,FALSE))</f>
        <v>14.4</v>
      </c>
      <c r="H202" s="203">
        <f>INDEX($R195:$AU209,$D202,5+VLOOKUP($B195,$B$351:$E$368,4,FALSE))</f>
        <v>7.0000000000000001E-3</v>
      </c>
      <c r="I202" s="203">
        <f>INDEX($R195:$AU209,$D202,6+VLOOKUP($B195,$B$351:$E$368,4,FALSE))</f>
        <v>16.8</v>
      </c>
      <c r="J202" s="203">
        <f>INDEX($R195:$AU209,$D202,9+VLOOKUP($B195,$B$351:$E$368,4,FALSE))</f>
        <v>7.1000000000000004E-3</v>
      </c>
      <c r="K202" s="203">
        <f>INDEX($R195:$AU209,$D202,10+VLOOKUP($B195,$B$351:$E$368,4,FALSE))</f>
        <v>17.100000000000001</v>
      </c>
      <c r="L202" s="203">
        <f>INDEX($R195:$AU209,$D202,13+VLOOKUP($B195,$B$351:$E$368,4,FALSE))</f>
        <v>7.4000000000000003E-3</v>
      </c>
      <c r="M202" s="203">
        <f>INDEX($R195:$AU209,$D202,14+VLOOKUP($B195,$B$351:$E$368,4,FALSE))</f>
        <v>18.100000000000001</v>
      </c>
      <c r="O202" s="215">
        <v>-5</v>
      </c>
      <c r="P202" s="211">
        <v>34.9</v>
      </c>
      <c r="Q202" s="212">
        <v>41.4</v>
      </c>
      <c r="R202" s="203">
        <f>ROUND((Q202-P202)/(Q194-P194),4)</f>
        <v>6.4999999999999997E-3</v>
      </c>
      <c r="S202" s="217">
        <f>ROUND(P202-P194*R202,2)</f>
        <v>15.4</v>
      </c>
      <c r="T202" s="211">
        <v>40.299999999999997</v>
      </c>
      <c r="U202" s="212">
        <v>47.9</v>
      </c>
      <c r="V202" s="203">
        <f>ROUND((U202-T202)/(U194-T194),4)</f>
        <v>7.6E-3</v>
      </c>
      <c r="W202" s="217">
        <f>ROUND(T202-T194*V202,2)</f>
        <v>17.5</v>
      </c>
      <c r="X202" s="211">
        <v>40.9</v>
      </c>
      <c r="Y202" s="212">
        <v>48.6</v>
      </c>
      <c r="Z202" s="203">
        <f>ROUND((Y202-X202)/(Y194-X194),4)</f>
        <v>7.7000000000000002E-3</v>
      </c>
      <c r="AA202" s="217">
        <f>ROUND(X202-X194*Z202,2)</f>
        <v>17.8</v>
      </c>
      <c r="AB202" s="211">
        <v>42.9</v>
      </c>
      <c r="AC202" s="212">
        <v>50.7</v>
      </c>
      <c r="AD202" s="203">
        <f>ROUND((AC202-AB202)/(AC194-AB194),4)</f>
        <v>7.7999999999999996E-3</v>
      </c>
      <c r="AE202" s="217">
        <f>ROUND(AB202-AB194*AD202,2)</f>
        <v>19.5</v>
      </c>
      <c r="AF202" s="211">
        <v>47.4</v>
      </c>
      <c r="AG202" s="212">
        <v>57.3</v>
      </c>
      <c r="AH202" s="203">
        <f>ROUND((AG202-AF202)/(AG194-AF194),4)</f>
        <v>9.9000000000000008E-3</v>
      </c>
      <c r="AI202" s="217">
        <f>ROUND(AF202-AF194*AH202,2)</f>
        <v>17.7</v>
      </c>
      <c r="AJ202" s="211">
        <v>54.3</v>
      </c>
      <c r="AK202" s="212">
        <v>65.7</v>
      </c>
      <c r="AL202" s="203">
        <f>ROUND((AK202-AJ202)/(AK194-AJ194),4)</f>
        <v>1.14E-2</v>
      </c>
      <c r="AM202" s="217">
        <f>ROUND(AJ202-AJ194*AL202,2)</f>
        <v>20.100000000000001</v>
      </c>
      <c r="AN202" s="211">
        <v>55.6</v>
      </c>
      <c r="AO202" s="212">
        <v>67.099999999999994</v>
      </c>
      <c r="AP202" s="203">
        <f>ROUND((AO202-AN202)/(AO194-AN194),4)</f>
        <v>1.15E-2</v>
      </c>
      <c r="AQ202" s="217">
        <f>ROUND(AN202-AN194*AP202,2)</f>
        <v>21.1</v>
      </c>
      <c r="AR202" s="211">
        <v>59.4</v>
      </c>
      <c r="AS202" s="212">
        <v>71.5</v>
      </c>
      <c r="AT202" s="203">
        <f>ROUND((AS202-AR202)/(AS194-AR194),4)</f>
        <v>1.21E-2</v>
      </c>
      <c r="AU202" s="217">
        <f>ROUND(AR202-AR194*AT202,2)</f>
        <v>23.1</v>
      </c>
    </row>
    <row r="203" spans="1:47">
      <c r="A203" t="s">
        <v>255</v>
      </c>
      <c r="B203" s="163" t="e">
        <f>ROUND(B202/(0.000335*B194),1)+B197</f>
        <v>#REF!</v>
      </c>
      <c r="D203" s="133">
        <v>10</v>
      </c>
      <c r="E203" s="133">
        <v>5</v>
      </c>
      <c r="F203" s="203">
        <f>INDEX($R195:$AU209,$D203,1+VLOOKUP($B195,$B$351:$E$368,4,FALSE))</f>
        <v>5.4999999999999997E-3</v>
      </c>
      <c r="G203" s="203">
        <f>INDEX($R195:$AU209,$D203,2+VLOOKUP($B195,$B$351:$E$368,4,FALSE))</f>
        <v>13.3</v>
      </c>
      <c r="H203" s="203">
        <f>INDEX($R195:$AU209,$D203,5+VLOOKUP($B195,$B$351:$E$368,4,FALSE))</f>
        <v>6.6E-3</v>
      </c>
      <c r="I203" s="203">
        <f>INDEX($R195:$AU209,$D203,6+VLOOKUP($B195,$B$351:$E$368,4,FALSE))</f>
        <v>15.4</v>
      </c>
      <c r="J203" s="203">
        <f>INDEX($R195:$AU209,$D203,9+VLOOKUP($B195,$B$351:$E$368,4,FALSE))</f>
        <v>6.6E-3</v>
      </c>
      <c r="K203" s="203">
        <f>INDEX($R195:$AU209,$D203,10+VLOOKUP($B195,$B$351:$E$368,4,FALSE))</f>
        <v>16.100000000000001</v>
      </c>
      <c r="L203" s="203">
        <f>INDEX($R195:$AU209,$D203,13+VLOOKUP($B195,$B$351:$E$368,4,FALSE))</f>
        <v>6.7999999999999996E-3</v>
      </c>
      <c r="M203" s="203">
        <f>INDEX($R195:$AU209,$D203,14+VLOOKUP($B195,$B$351:$E$368,4,FALSE))</f>
        <v>17.399999999999999</v>
      </c>
      <c r="O203" s="215">
        <v>0</v>
      </c>
      <c r="P203" s="211">
        <v>32.4</v>
      </c>
      <c r="Q203" s="212">
        <v>38.4</v>
      </c>
      <c r="R203" s="203">
        <f>ROUND((Q203-P203)/(Q194-P194),4)</f>
        <v>6.0000000000000001E-3</v>
      </c>
      <c r="S203" s="217">
        <f>ROUND(P203-P194*R203,2)</f>
        <v>14.4</v>
      </c>
      <c r="T203" s="211">
        <v>37.799999999999997</v>
      </c>
      <c r="U203" s="212">
        <v>44.8</v>
      </c>
      <c r="V203" s="203">
        <f>ROUND((U203-T203)/(U194-T194),4)</f>
        <v>7.0000000000000001E-3</v>
      </c>
      <c r="W203" s="217">
        <f>ROUND(T203-T194*V203,2)</f>
        <v>16.8</v>
      </c>
      <c r="X203" s="211">
        <v>38.4</v>
      </c>
      <c r="Y203" s="212">
        <v>45.5</v>
      </c>
      <c r="Z203" s="203">
        <f>ROUND((Y203-X203)/(Y194-X194),4)</f>
        <v>7.1000000000000004E-3</v>
      </c>
      <c r="AA203" s="217">
        <f>ROUND(X203-X194*Z203,2)</f>
        <v>17.100000000000001</v>
      </c>
      <c r="AB203" s="211">
        <v>40.299999999999997</v>
      </c>
      <c r="AC203" s="212">
        <v>47.7</v>
      </c>
      <c r="AD203" s="203">
        <f>ROUND((AC203-AB203)/(AC194-AB194),4)</f>
        <v>7.4000000000000003E-3</v>
      </c>
      <c r="AE203" s="217">
        <f>ROUND(AB203-AB194*AD203,2)</f>
        <v>18.100000000000001</v>
      </c>
      <c r="AF203" s="211">
        <v>44.1</v>
      </c>
      <c r="AG203" s="212">
        <v>53.3</v>
      </c>
      <c r="AH203" s="203">
        <f>ROUND((AG203-AF203)/(AG194-AF194),4)</f>
        <v>9.1999999999999998E-3</v>
      </c>
      <c r="AI203" s="217">
        <f>ROUND(AF203-AF194*AH203,2)</f>
        <v>16.5</v>
      </c>
      <c r="AJ203" s="211">
        <v>51</v>
      </c>
      <c r="AK203" s="212">
        <v>61.7</v>
      </c>
      <c r="AL203" s="203">
        <f>ROUND((AK203-AJ203)/(AK194-AJ194),4)</f>
        <v>1.0699999999999999E-2</v>
      </c>
      <c r="AM203" s="217">
        <f>ROUND(AJ203-AJ194*AL203,2)</f>
        <v>18.899999999999999</v>
      </c>
      <c r="AN203" s="211">
        <v>52.3</v>
      </c>
      <c r="AO203" s="212">
        <v>63.1</v>
      </c>
      <c r="AP203" s="203">
        <f>ROUND((AO203-AN203)/(AO194-AN194),4)</f>
        <v>1.0800000000000001E-2</v>
      </c>
      <c r="AQ203" s="217">
        <f>ROUND(AN203-AN194*AP203,2)</f>
        <v>19.899999999999999</v>
      </c>
      <c r="AR203" s="211">
        <v>56.1</v>
      </c>
      <c r="AS203" s="212">
        <v>67.400000000000006</v>
      </c>
      <c r="AT203" s="203">
        <f>ROUND((AS203-AR203)/(AS194-AR194),4)</f>
        <v>1.1299999999999999E-2</v>
      </c>
      <c r="AU203" s="217">
        <f>ROUND(AR203-AR194*AT203,2)</f>
        <v>22.2</v>
      </c>
    </row>
    <row r="204" spans="1:47">
      <c r="D204" s="133">
        <v>11</v>
      </c>
      <c r="E204" s="133">
        <v>10</v>
      </c>
      <c r="F204" s="203">
        <f>INDEX($R195:$AU209,$D204,1+VLOOKUP($B195,$B$351:$E$368,4,FALSE))</f>
        <v>5.0000000000000001E-3</v>
      </c>
      <c r="G204" s="203">
        <f>INDEX($R195:$AU209,$D204,2+VLOOKUP($B195,$B$351:$E$368,4,FALSE))</f>
        <v>12.3</v>
      </c>
      <c r="H204" s="203">
        <f>INDEX($R195:$AU209,$D204,5+VLOOKUP($B195,$B$351:$E$368,4,FALSE))</f>
        <v>6.1000000000000004E-3</v>
      </c>
      <c r="I204" s="203">
        <f>INDEX($R195:$AU209,$D204,6+VLOOKUP($B195,$B$351:$E$368,4,FALSE))</f>
        <v>14.4</v>
      </c>
      <c r="J204" s="203">
        <f>INDEX($R195:$AU209,$D204,9+VLOOKUP($B195,$B$351:$E$368,4,FALSE))</f>
        <v>6.1000000000000004E-3</v>
      </c>
      <c r="K204" s="203">
        <f>INDEX($R195:$AU209,$D204,10+VLOOKUP($B195,$B$351:$E$368,4,FALSE))</f>
        <v>15</v>
      </c>
      <c r="L204" s="203">
        <f>INDEX($R195:$AU209,$D204,13+VLOOKUP($B195,$B$351:$E$368,4,FALSE))</f>
        <v>6.3E-3</v>
      </c>
      <c r="M204" s="203">
        <f>INDEX($R195:$AU209,$D204,14+VLOOKUP($B195,$B$351:$E$368,4,FALSE))</f>
        <v>16.399999999999999</v>
      </c>
      <c r="O204" s="215">
        <v>5</v>
      </c>
      <c r="P204" s="211">
        <v>29.8</v>
      </c>
      <c r="Q204" s="212">
        <v>35.299999999999997</v>
      </c>
      <c r="R204" s="203">
        <f>ROUND((Q204-P204)/(Q194-P194),4)</f>
        <v>5.4999999999999997E-3</v>
      </c>
      <c r="S204" s="217">
        <f>ROUND(P204-P194*R204,2)</f>
        <v>13.3</v>
      </c>
      <c r="T204" s="211">
        <v>35.200000000000003</v>
      </c>
      <c r="U204" s="212">
        <v>41.8</v>
      </c>
      <c r="V204" s="203">
        <f>ROUND((U204-T204)/(U194-T194),4)</f>
        <v>6.6E-3</v>
      </c>
      <c r="W204" s="217">
        <f>ROUND(T204-T194*V204,2)</f>
        <v>15.4</v>
      </c>
      <c r="X204" s="211">
        <v>35.9</v>
      </c>
      <c r="Y204" s="212">
        <v>42.5</v>
      </c>
      <c r="Z204" s="203">
        <f>ROUND((Y204-X204)/(Y194-X194),4)</f>
        <v>6.6E-3</v>
      </c>
      <c r="AA204" s="217">
        <f>ROUND(X204-X194*Z204,2)</f>
        <v>16.100000000000001</v>
      </c>
      <c r="AB204" s="211">
        <v>37.799999999999997</v>
      </c>
      <c r="AC204" s="212">
        <v>44.6</v>
      </c>
      <c r="AD204" s="203">
        <f>ROUND((AC204-AB204)/(AC194-AB194),4)</f>
        <v>6.7999999999999996E-3</v>
      </c>
      <c r="AE204" s="217">
        <f>ROUND(AB204-AB194*AD204,2)</f>
        <v>17.399999999999999</v>
      </c>
      <c r="AF204" s="211">
        <v>40.799999999999997</v>
      </c>
      <c r="AG204" s="212">
        <v>49.2</v>
      </c>
      <c r="AH204" s="203">
        <f>ROUND((AG204-AF204)/(AG194-AF194),4)</f>
        <v>8.3999999999999995E-3</v>
      </c>
      <c r="AI204" s="217">
        <f>ROUND(AF204-AF194*AH204,2)</f>
        <v>15.6</v>
      </c>
      <c r="AJ204" s="211">
        <v>47.7</v>
      </c>
      <c r="AK204" s="212">
        <v>57.6</v>
      </c>
      <c r="AL204" s="203">
        <f>ROUND((AK204-AJ204)/(AK194-AJ194),4)</f>
        <v>9.9000000000000008E-3</v>
      </c>
      <c r="AM204" s="217">
        <f>ROUND(AJ204-AJ194*AL204,2)</f>
        <v>18</v>
      </c>
      <c r="AN204" s="211">
        <v>48.9</v>
      </c>
      <c r="AO204" s="212">
        <v>59.1</v>
      </c>
      <c r="AP204" s="203">
        <f>ROUND((AO204-AN204)/(AO194-AN194),4)</f>
        <v>1.0200000000000001E-2</v>
      </c>
      <c r="AQ204" s="217">
        <f>ROUND(AN204-AN194*AP204,2)</f>
        <v>18.3</v>
      </c>
      <c r="AR204" s="211">
        <v>52.7</v>
      </c>
      <c r="AS204" s="212">
        <v>63.3</v>
      </c>
      <c r="AT204" s="203">
        <f>ROUND((AS204-AR204)/(AS194-AR194),4)</f>
        <v>1.06E-2</v>
      </c>
      <c r="AU204" s="217">
        <f>ROUND(AR204-AR194*AT204,2)</f>
        <v>20.9</v>
      </c>
    </row>
    <row r="205" spans="1:47">
      <c r="A205" t="s">
        <v>256</v>
      </c>
      <c r="B205" s="163" t="e">
        <f>ROUND(B202/(4183*VLOOKUP(B196,B$345:E$348,4,FALSE))*3600,2)</f>
        <v>#REF!</v>
      </c>
      <c r="D205" s="133">
        <v>12</v>
      </c>
      <c r="E205" s="133">
        <v>15</v>
      </c>
      <c r="F205" s="203">
        <f>INDEX($R195:$AU209,$D205,1+VLOOKUP($B195,$B$351:$E$368,4,FALSE))</f>
        <v>4.5999999999999999E-3</v>
      </c>
      <c r="G205" s="203">
        <f>INDEX($R195:$AU209,$D205,2+VLOOKUP($B195,$B$351:$E$368,4,FALSE))</f>
        <v>10.9</v>
      </c>
      <c r="H205" s="203">
        <f>INDEX($R195:$AU209,$D205,5+VLOOKUP($B195,$B$351:$E$368,4,FALSE))</f>
        <v>5.5999999999999999E-3</v>
      </c>
      <c r="I205" s="203">
        <f>INDEX($R195:$AU209,$D205,6+VLOOKUP($B195,$B$351:$E$368,4,FALSE))</f>
        <v>13.3</v>
      </c>
      <c r="J205" s="203">
        <f>INDEX($R195:$AU209,$D205,9+VLOOKUP($B195,$B$351:$E$368,4,FALSE))</f>
        <v>5.5999999999999999E-3</v>
      </c>
      <c r="K205" s="203">
        <f>INDEX($R195:$AU209,$D205,10+VLOOKUP($B195,$B$351:$E$368,4,FALSE))</f>
        <v>14</v>
      </c>
      <c r="L205" s="203">
        <f>INDEX($R195:$AU209,$D205,13+VLOOKUP($B195,$B$351:$E$368,4,FALSE))</f>
        <v>5.8999999999999999E-3</v>
      </c>
      <c r="M205" s="203">
        <f>INDEX($R195:$AU209,$D205,14+VLOOKUP($B195,$B$351:$E$368,4,FALSE))</f>
        <v>14.9</v>
      </c>
      <c r="O205" s="215">
        <v>10</v>
      </c>
      <c r="P205" s="211">
        <v>27.3</v>
      </c>
      <c r="Q205" s="212">
        <v>32.299999999999997</v>
      </c>
      <c r="R205" s="203">
        <f>ROUND((Q205-P205)/(Q194-P194),4)</f>
        <v>5.0000000000000001E-3</v>
      </c>
      <c r="S205" s="217">
        <f>ROUND(P205-P194*R205,2)</f>
        <v>12.3</v>
      </c>
      <c r="T205" s="211">
        <v>32.700000000000003</v>
      </c>
      <c r="U205" s="212">
        <v>38.799999999999997</v>
      </c>
      <c r="V205" s="203">
        <f>ROUND((U205-T205)/(U194-T194),4)</f>
        <v>6.1000000000000004E-3</v>
      </c>
      <c r="W205" s="217">
        <f>ROUND(T205-T194*V205,2)</f>
        <v>14.4</v>
      </c>
      <c r="X205" s="211">
        <v>33.299999999999997</v>
      </c>
      <c r="Y205" s="212">
        <v>39.4</v>
      </c>
      <c r="Z205" s="203">
        <f>ROUND((Y205-X205)/(Y194-X194),4)</f>
        <v>6.1000000000000004E-3</v>
      </c>
      <c r="AA205" s="217">
        <f>ROUND(X205-X194*Z205,2)</f>
        <v>15</v>
      </c>
      <c r="AB205" s="211">
        <v>35.299999999999997</v>
      </c>
      <c r="AC205" s="212">
        <v>41.6</v>
      </c>
      <c r="AD205" s="203">
        <f>ROUND((AC205-AB205)/(AC194-AB194),4)</f>
        <v>6.3E-3</v>
      </c>
      <c r="AE205" s="217">
        <f>ROUND(AB205-AB194*AD205,2)</f>
        <v>16.399999999999999</v>
      </c>
      <c r="AF205" s="211">
        <v>37.5</v>
      </c>
      <c r="AG205" s="212">
        <v>45.2</v>
      </c>
      <c r="AH205" s="203">
        <f>ROUND((AG205-AF205)/(AG194-AF194),4)</f>
        <v>7.7000000000000002E-3</v>
      </c>
      <c r="AI205" s="217">
        <f>ROUND(AF205-AF194*AH205,2)</f>
        <v>14.4</v>
      </c>
      <c r="AJ205" s="211">
        <v>44.4</v>
      </c>
      <c r="AK205" s="212">
        <v>53.6</v>
      </c>
      <c r="AL205" s="203">
        <f>ROUND((AK205-AJ205)/(AK194-AJ194),4)</f>
        <v>9.1999999999999998E-3</v>
      </c>
      <c r="AM205" s="217">
        <f>ROUND(AJ205-AJ194*AL205,2)</f>
        <v>16.8</v>
      </c>
      <c r="AN205" s="211">
        <v>45.7</v>
      </c>
      <c r="AO205" s="212">
        <v>55</v>
      </c>
      <c r="AP205" s="203">
        <f>ROUND((AO205-AN205)/(AO194-AN194),4)</f>
        <v>9.2999999999999992E-3</v>
      </c>
      <c r="AQ205" s="217">
        <f>ROUND(AN205-AN194*AP205,2)</f>
        <v>17.8</v>
      </c>
      <c r="AR205" s="211">
        <v>49.3</v>
      </c>
      <c r="AS205" s="212">
        <v>59.3</v>
      </c>
      <c r="AT205" s="203">
        <f>ROUND((AS205-AR205)/(AS194-AR194),4)</f>
        <v>0.01</v>
      </c>
      <c r="AU205" s="217">
        <f>ROUND(AR205-AR194*AT205,2)</f>
        <v>19.3</v>
      </c>
    </row>
    <row r="206" spans="1:47">
      <c r="A206" t="s">
        <v>257</v>
      </c>
      <c r="B206" s="163" t="e">
        <f>ROUND(100*POWER(B205/VLOOKUP(B195,B$351:C$368,2,FALSE),2),1)</f>
        <v>#REF!</v>
      </c>
      <c r="D206" s="133">
        <v>13</v>
      </c>
      <c r="E206" s="133">
        <v>20</v>
      </c>
      <c r="F206" s="203">
        <f>INDEX($R195:$AU209,$D206,1+VLOOKUP($B195,$B$351:$E$368,4,FALSE))</f>
        <v>4.0000000000000001E-3</v>
      </c>
      <c r="G206" s="203">
        <f>INDEX($R195:$AU209,$D206,2+VLOOKUP($B195,$B$351:$E$368,4,FALSE))</f>
        <v>10.199999999999999</v>
      </c>
      <c r="H206" s="203">
        <f>INDEX($R195:$AU209,$D206,5+VLOOKUP($B195,$B$351:$E$368,4,FALSE))</f>
        <v>5.1000000000000004E-3</v>
      </c>
      <c r="I206" s="203">
        <f>INDEX($R195:$AU209,$D206,6+VLOOKUP($B195,$B$351:$E$368,4,FALSE))</f>
        <v>12.29</v>
      </c>
      <c r="J206" s="203">
        <f>INDEX($R195:$AU209,$D206,9+VLOOKUP($B195,$B$351:$E$368,4,FALSE))</f>
        <v>5.1000000000000004E-3</v>
      </c>
      <c r="K206" s="203">
        <f>INDEX($R195:$AU209,$D206,10+VLOOKUP($B195,$B$351:$E$368,4,FALSE))</f>
        <v>12.93</v>
      </c>
      <c r="L206" s="203">
        <f>INDEX($R195:$AU209,$D206,13+VLOOKUP($B195,$B$351:$E$368,4,FALSE))</f>
        <v>5.3E-3</v>
      </c>
      <c r="M206" s="203">
        <f>INDEX($R195:$AU209,$D206,14+VLOOKUP($B195,$B$351:$E$368,4,FALSE))</f>
        <v>14.21</v>
      </c>
      <c r="O206" s="215">
        <v>15</v>
      </c>
      <c r="P206" s="211">
        <v>24.7</v>
      </c>
      <c r="Q206" s="212">
        <v>29.3</v>
      </c>
      <c r="R206" s="203">
        <f>ROUND((Q206-P206)/(Q194-P194),4)</f>
        <v>4.5999999999999999E-3</v>
      </c>
      <c r="S206" s="217">
        <f>ROUND(P206-P194*R206,2)</f>
        <v>10.9</v>
      </c>
      <c r="T206" s="211">
        <v>30.1</v>
      </c>
      <c r="U206" s="212">
        <v>35.700000000000003</v>
      </c>
      <c r="V206" s="203">
        <f>ROUND((U206-T206)/(U194-T194),4)</f>
        <v>5.5999999999999999E-3</v>
      </c>
      <c r="W206" s="217">
        <f>ROUND(T206-T194*V206,2)</f>
        <v>13.3</v>
      </c>
      <c r="X206" s="211">
        <v>30.8</v>
      </c>
      <c r="Y206" s="212">
        <v>36.4</v>
      </c>
      <c r="Z206" s="203">
        <f>ROUND((Y206-X206)/(Y194-X194),4)</f>
        <v>5.5999999999999999E-3</v>
      </c>
      <c r="AA206" s="217">
        <f>ROUND(X206-X194*Z206,2)</f>
        <v>14</v>
      </c>
      <c r="AB206" s="211">
        <v>32.6</v>
      </c>
      <c r="AC206" s="212">
        <v>38.5</v>
      </c>
      <c r="AD206" s="203">
        <f>ROUND((AC206-AB206)/(AC194-AB194),4)</f>
        <v>5.8999999999999999E-3</v>
      </c>
      <c r="AE206" s="217">
        <f>ROUND(AB206-AB194*AD206,2)</f>
        <v>14.9</v>
      </c>
      <c r="AF206" s="211">
        <v>34.200000000000003</v>
      </c>
      <c r="AG206" s="212">
        <v>41.2</v>
      </c>
      <c r="AH206" s="203">
        <f>ROUND((AG206-AF206)/(AG194-AF194),4)</f>
        <v>7.0000000000000001E-3</v>
      </c>
      <c r="AI206" s="217">
        <f>ROUND(AF206-AF194*AH206,2)</f>
        <v>13.2</v>
      </c>
      <c r="AJ206" s="211">
        <v>41.1</v>
      </c>
      <c r="AK206" s="212">
        <v>49.6</v>
      </c>
      <c r="AL206" s="203">
        <f>ROUND((AK206-AJ206)/(AK194-AJ194),4)</f>
        <v>8.5000000000000006E-3</v>
      </c>
      <c r="AM206" s="217">
        <f>ROUND(AJ206-AJ194*AL206,2)</f>
        <v>15.6</v>
      </c>
      <c r="AN206" s="211">
        <v>42.3</v>
      </c>
      <c r="AO206" s="212">
        <v>51</v>
      </c>
      <c r="AP206" s="203">
        <f>ROUND((AO206-AN206)/(AO194-AN194),4)</f>
        <v>8.6999999999999994E-3</v>
      </c>
      <c r="AQ206" s="217">
        <f>ROUND(AN206-AN194*AP206,2)</f>
        <v>16.2</v>
      </c>
      <c r="AR206" s="211">
        <v>46</v>
      </c>
      <c r="AS206" s="212">
        <v>55.1</v>
      </c>
      <c r="AT206" s="203">
        <f>ROUND((AS206-AR206)/(AS194-AR194),4)</f>
        <v>9.1000000000000004E-3</v>
      </c>
      <c r="AU206" s="217">
        <f>ROUND(AR206-AR194*AT206,2)</f>
        <v>18.7</v>
      </c>
    </row>
    <row r="207" spans="1:47">
      <c r="D207" s="133">
        <v>14</v>
      </c>
      <c r="E207" s="133">
        <v>25</v>
      </c>
      <c r="F207" s="203">
        <f>INDEX($R195:$AU209,$D207,1+VLOOKUP($B195,$B$351:$E$368,4,FALSE))</f>
        <v>3.5000000000000001E-3</v>
      </c>
      <c r="G207" s="203">
        <f>INDEX($R195:$AU209,$D207,2+VLOOKUP($B195,$B$351:$E$368,4,FALSE))</f>
        <v>9.16</v>
      </c>
      <c r="H207" s="203">
        <f>INDEX($R195:$AU209,$D207,5+VLOOKUP($B195,$B$351:$E$368,4,FALSE))</f>
        <v>4.5999999999999999E-3</v>
      </c>
      <c r="I207" s="203">
        <f>INDEX($R195:$AU209,$D207,6+VLOOKUP($B195,$B$351:$E$368,4,FALSE))</f>
        <v>11.25</v>
      </c>
      <c r="J207" s="203">
        <f>INDEX($R195:$AU209,$D207,9+VLOOKUP($B195,$B$351:$E$368,4,FALSE))</f>
        <v>4.5999999999999999E-3</v>
      </c>
      <c r="K207" s="203">
        <f>INDEX($R195:$AU209,$D207,10+VLOOKUP($B195,$B$351:$E$368,4,FALSE))</f>
        <v>11.89</v>
      </c>
      <c r="L207" s="203">
        <f>INDEX($R195:$AU209,$D207,13+VLOOKUP($B195,$B$351:$E$368,4,FALSE))</f>
        <v>4.7999999999999996E-3</v>
      </c>
      <c r="M207" s="203">
        <f>INDEX($R195:$AU209,$D207,14+VLOOKUP($B195,$B$351:$E$368,4,FALSE))</f>
        <v>13.15</v>
      </c>
      <c r="O207" s="215">
        <v>20</v>
      </c>
      <c r="P207" s="211">
        <v>22.2</v>
      </c>
      <c r="Q207" s="212">
        <v>26.226666666666599</v>
      </c>
      <c r="R207" s="203">
        <f>ROUND((Q207-P207)/(Q194-P194),4)</f>
        <v>4.0000000000000001E-3</v>
      </c>
      <c r="S207" s="217">
        <f>ROUND(P207-P194*R207,2)</f>
        <v>10.199999999999999</v>
      </c>
      <c r="T207" s="211">
        <v>27.593333333333401</v>
      </c>
      <c r="U207" s="212">
        <v>32.68</v>
      </c>
      <c r="V207" s="203">
        <f>ROUND((U207-T207)/(U194-T194),4)</f>
        <v>5.1000000000000004E-3</v>
      </c>
      <c r="W207" s="217">
        <f>ROUND(T207-T194*V207,2)</f>
        <v>12.29</v>
      </c>
      <c r="X207" s="211">
        <v>28.233333333333398</v>
      </c>
      <c r="Y207" s="212">
        <v>33.3466666666667</v>
      </c>
      <c r="Z207" s="203">
        <f>ROUND((Y207-X207)/(Y194-X194),4)</f>
        <v>5.1000000000000004E-3</v>
      </c>
      <c r="AA207" s="217">
        <f>ROUND(X207-X194*Z207,2)</f>
        <v>12.93</v>
      </c>
      <c r="AB207" s="211">
        <v>30.106666666666701</v>
      </c>
      <c r="AC207" s="212">
        <v>35.453333333333298</v>
      </c>
      <c r="AD207" s="203">
        <f>ROUND((AC207-AB207)/(AC194-AB194),4)</f>
        <v>5.3E-3</v>
      </c>
      <c r="AE207" s="217">
        <f>ROUND(AB207-AB194*AD207,2)</f>
        <v>14.21</v>
      </c>
      <c r="AF207" s="211">
        <v>30.9</v>
      </c>
      <c r="AG207" s="212">
        <v>37.18</v>
      </c>
      <c r="AH207" s="203">
        <f>ROUND((AG207-AF207)/(AG194-AF194),4)</f>
        <v>6.3E-3</v>
      </c>
      <c r="AI207" s="217">
        <f>ROUND(AF207-AF194*AH207,2)</f>
        <v>12</v>
      </c>
      <c r="AJ207" s="211">
        <v>37.799999999999997</v>
      </c>
      <c r="AK207" s="212">
        <v>45.566666666666698</v>
      </c>
      <c r="AL207" s="203">
        <f>ROUND((AK207-AJ207)/(AK194-AJ194),4)</f>
        <v>7.7999999999999996E-3</v>
      </c>
      <c r="AM207" s="217">
        <f>ROUND(AJ207-AJ194*AL207,2)</f>
        <v>14.4</v>
      </c>
      <c r="AN207" s="211">
        <v>39.033333333333303</v>
      </c>
      <c r="AO207" s="212">
        <v>46.973333333333301</v>
      </c>
      <c r="AP207" s="203">
        <f>ROUND((AO207-AN207)/(AO194-AN194),4)</f>
        <v>7.9000000000000008E-3</v>
      </c>
      <c r="AQ207" s="217">
        <f>ROUND(AN207-AN194*AP207,2)</f>
        <v>15.33</v>
      </c>
      <c r="AR207" s="211">
        <v>42.6666666666667</v>
      </c>
      <c r="AS207" s="212">
        <v>51.126666666666701</v>
      </c>
      <c r="AT207" s="203">
        <f>ROUND((AS207-AR207)/(AS194-AR194),4)</f>
        <v>8.5000000000000006E-3</v>
      </c>
      <c r="AU207" s="217">
        <f>ROUND(AR207-AR194*AT207,2)</f>
        <v>17.170000000000002</v>
      </c>
    </row>
    <row r="208" spans="1:47">
      <c r="D208" s="133">
        <v>15</v>
      </c>
      <c r="E208" s="133">
        <v>30</v>
      </c>
      <c r="F208" s="203">
        <f>INDEX($R195:$AU209,$D208,1+VLOOKUP($B195,$B$351:$E$368,4,FALSE))</f>
        <v>3.0000000000000001E-3</v>
      </c>
      <c r="G208" s="203">
        <f>INDEX($R195:$AU209,$D208,2+VLOOKUP($B195,$B$351:$E$368,4,FALSE))</f>
        <v>8.1199999999999992</v>
      </c>
      <c r="H208" s="203">
        <f>INDEX($R195:$AU209,$D208,5+VLOOKUP($B195,$B$351:$E$368,4,FALSE))</f>
        <v>4.1000000000000003E-3</v>
      </c>
      <c r="I208" s="203">
        <f>INDEX($R195:$AU209,$D208,6+VLOOKUP($B195,$B$351:$E$368,4,FALSE))</f>
        <v>10.210000000000001</v>
      </c>
      <c r="J208" s="203">
        <f>INDEX($R195:$AU209,$D208,9+VLOOKUP($B195,$B$351:$E$368,4,FALSE))</f>
        <v>4.1000000000000003E-3</v>
      </c>
      <c r="K208" s="203">
        <f>INDEX($R195:$AU209,$D208,10+VLOOKUP($B195,$B$351:$E$368,4,FALSE))</f>
        <v>10.85</v>
      </c>
      <c r="L208" s="203">
        <f>INDEX($R195:$AU209,$D208,13+VLOOKUP($B195,$B$351:$E$368,4,FALSE))</f>
        <v>4.4000000000000003E-3</v>
      </c>
      <c r="M208" s="203">
        <f>INDEX($R195:$AU209,$D208,14+VLOOKUP($B195,$B$351:$E$368,4,FALSE))</f>
        <v>11.79</v>
      </c>
      <c r="O208" s="215">
        <v>25</v>
      </c>
      <c r="P208" s="211">
        <v>19.661818181818202</v>
      </c>
      <c r="Q208" s="212">
        <v>23.1896969696969</v>
      </c>
      <c r="R208" s="203">
        <f>ROUND((Q208-P208)/(Q194-P194),4)</f>
        <v>3.5000000000000001E-3</v>
      </c>
      <c r="S208" s="217">
        <f>ROUND(P208-P194*R208,2)</f>
        <v>9.16</v>
      </c>
      <c r="T208" s="211">
        <v>25.050303030303098</v>
      </c>
      <c r="U208" s="212">
        <v>29.64</v>
      </c>
      <c r="V208" s="203">
        <f>ROUND((U208-T208)/(U194-T194),4)</f>
        <v>4.5999999999999999E-3</v>
      </c>
      <c r="W208" s="217">
        <f>ROUND(T208-T194*V208,2)</f>
        <v>11.25</v>
      </c>
      <c r="X208" s="211">
        <v>25.690303030303099</v>
      </c>
      <c r="Y208" s="212">
        <v>30.302424242424198</v>
      </c>
      <c r="Z208" s="203">
        <f>ROUND((Y208-X208)/(Y194-X194),4)</f>
        <v>4.5999999999999999E-3</v>
      </c>
      <c r="AA208" s="217">
        <f>ROUND(X208-X194*Z208,2)</f>
        <v>11.89</v>
      </c>
      <c r="AB208" s="211">
        <v>27.547878787878801</v>
      </c>
      <c r="AC208" s="212">
        <v>32.397575757575801</v>
      </c>
      <c r="AD208" s="203">
        <f>ROUND((AC208-AB208)/(AC194-AB194),4)</f>
        <v>4.7999999999999996E-3</v>
      </c>
      <c r="AE208" s="217">
        <f>ROUND(AB208-AB194*AD208,2)</f>
        <v>13.15</v>
      </c>
      <c r="AF208" s="211">
        <v>27.6</v>
      </c>
      <c r="AG208" s="212">
        <v>33.161818181818198</v>
      </c>
      <c r="AH208" s="203">
        <f>ROUND((AG208-AF208)/(AG194-AF194),4)</f>
        <v>5.5999999999999999E-3</v>
      </c>
      <c r="AI208" s="217">
        <f>ROUND(AF208-AF194*AH208,2)</f>
        <v>10.8</v>
      </c>
      <c r="AJ208" s="211">
        <v>34.5</v>
      </c>
      <c r="AK208" s="212">
        <v>41.544242424242398</v>
      </c>
      <c r="AL208" s="203">
        <f>ROUND((AK208-AJ208)/(AK194-AJ194),4)</f>
        <v>7.0000000000000001E-3</v>
      </c>
      <c r="AM208" s="217">
        <f>ROUND(AJ208-AJ194*AL208,2)</f>
        <v>13.5</v>
      </c>
      <c r="AN208" s="211">
        <v>35.724848484848501</v>
      </c>
      <c r="AO208" s="212">
        <v>42.944848484848499</v>
      </c>
      <c r="AP208" s="203">
        <f>ROUND((AO208-AN208)/(AO194-AN194),4)</f>
        <v>7.1999999999999998E-3</v>
      </c>
      <c r="AQ208" s="217">
        <f>ROUND(AN208-AN194*AP208,2)</f>
        <v>14.12</v>
      </c>
      <c r="AR208" s="211">
        <v>39.324242424242399</v>
      </c>
      <c r="AS208" s="212">
        <v>47.064242424242401</v>
      </c>
      <c r="AT208" s="203">
        <f>ROUND((AS208-AR208)/(AS194-AR194),4)</f>
        <v>7.7000000000000002E-3</v>
      </c>
      <c r="AU208" s="217">
        <f>ROUND(AR208-AR194*AT208,2)</f>
        <v>16.22</v>
      </c>
    </row>
    <row r="209" spans="1:48" ht="15" thickBot="1">
      <c r="O209" s="216">
        <v>30</v>
      </c>
      <c r="P209" s="226">
        <v>17.1236363636364</v>
      </c>
      <c r="Q209" s="227">
        <v>20.152727272727201</v>
      </c>
      <c r="R209" s="228">
        <f>ROUND((Q209-P209)/(Q194-P194),4)</f>
        <v>3.0000000000000001E-3</v>
      </c>
      <c r="S209" s="229">
        <f>ROUND(P209-P194*R209,2)</f>
        <v>8.1199999999999992</v>
      </c>
      <c r="T209" s="226">
        <v>22.507272727272799</v>
      </c>
      <c r="U209" s="227">
        <v>26.6</v>
      </c>
      <c r="V209" s="228">
        <f>ROUND((U209-T209)/(U194-T194),4)</f>
        <v>4.1000000000000003E-3</v>
      </c>
      <c r="W209" s="229">
        <f>ROUND(T209-T194*V209,2)</f>
        <v>10.210000000000001</v>
      </c>
      <c r="X209" s="226">
        <v>23.147272727272799</v>
      </c>
      <c r="Y209" s="227">
        <v>27.2581818181818</v>
      </c>
      <c r="Z209" s="228">
        <f>ROUND((Y209-X209)/(Y194-X194),4)</f>
        <v>4.1000000000000003E-3</v>
      </c>
      <c r="AA209" s="229">
        <f>ROUND(X209-X194*Z209,2)</f>
        <v>10.85</v>
      </c>
      <c r="AB209" s="226">
        <v>24.989090909091001</v>
      </c>
      <c r="AC209" s="227">
        <v>29.341818181818201</v>
      </c>
      <c r="AD209" s="228">
        <f>ROUND((AC209-AB209)/(AC194-AB194),4)</f>
        <v>4.4000000000000003E-3</v>
      </c>
      <c r="AE209" s="229">
        <f>ROUND(AB209-AB194*AD209,2)</f>
        <v>11.79</v>
      </c>
      <c r="AF209" s="226">
        <v>24.3</v>
      </c>
      <c r="AG209" s="227">
        <v>29.1436363636364</v>
      </c>
      <c r="AH209" s="228">
        <f>ROUND((AG209-AF209)/(AG194-AF194),4)</f>
        <v>4.7999999999999996E-3</v>
      </c>
      <c r="AI209" s="229">
        <f>ROUND(AF209-AF194*AH209,2)</f>
        <v>9.9</v>
      </c>
      <c r="AJ209" s="226">
        <v>31.2</v>
      </c>
      <c r="AK209" s="227">
        <v>37.521818181818198</v>
      </c>
      <c r="AL209" s="228">
        <f>ROUND((AK209-AJ209)/(AK194-AJ194),4)</f>
        <v>6.3E-3</v>
      </c>
      <c r="AM209" s="229">
        <f>ROUND(AJ209-AJ194*AL209,2)</f>
        <v>12.3</v>
      </c>
      <c r="AN209" s="226">
        <v>32.416363636363599</v>
      </c>
      <c r="AO209" s="227">
        <v>38.916363636363599</v>
      </c>
      <c r="AP209" s="228">
        <f>ROUND((AO209-AN209)/(AO194-AN194),4)</f>
        <v>6.4999999999999997E-3</v>
      </c>
      <c r="AQ209" s="229">
        <f>ROUND(AN209-AN194*AP209,2)</f>
        <v>12.92</v>
      </c>
      <c r="AR209" s="226">
        <v>35.981818181818198</v>
      </c>
      <c r="AS209" s="227">
        <v>43.001818181818201</v>
      </c>
      <c r="AT209" s="228">
        <f>ROUND((AS209-AR209)/(AS194-AR194),4)</f>
        <v>7.0000000000000001E-3</v>
      </c>
      <c r="AU209" s="229">
        <f>ROUND(AR209-AR194*AT209,2)</f>
        <v>14.98</v>
      </c>
    </row>
    <row r="210" spans="1:48" ht="15" thickBot="1">
      <c r="O210" s="224"/>
      <c r="P210" s="225"/>
      <c r="Q210" s="225"/>
      <c r="R210" s="225"/>
      <c r="S210" s="225"/>
      <c r="T210" s="225"/>
      <c r="U210" s="225"/>
      <c r="V210" s="225"/>
      <c r="W210" s="225"/>
      <c r="X210" s="225"/>
      <c r="Y210" s="225"/>
      <c r="Z210" s="225"/>
      <c r="AA210" s="225"/>
      <c r="AB210" s="225"/>
      <c r="AC210" s="225"/>
      <c r="AD210" s="225"/>
      <c r="AE210" s="225"/>
      <c r="AF210" s="225"/>
      <c r="AG210" s="225"/>
      <c r="AH210" s="225"/>
      <c r="AI210" s="225"/>
      <c r="AJ210" s="225"/>
      <c r="AK210" s="225"/>
      <c r="AL210" s="225"/>
      <c r="AM210" s="225"/>
      <c r="AN210" s="225"/>
      <c r="AO210" s="225"/>
      <c r="AP210" s="225"/>
      <c r="AQ210" s="225"/>
      <c r="AR210" s="225"/>
      <c r="AS210" s="225"/>
      <c r="AT210" s="225"/>
      <c r="AU210" s="225"/>
      <c r="AV210" s="225"/>
    </row>
    <row r="211" spans="1:48" ht="15" thickBot="1">
      <c r="E211" s="163"/>
      <c r="F211" s="596" t="s">
        <v>244</v>
      </c>
      <c r="G211" s="597"/>
      <c r="H211" s="597" t="s">
        <v>245</v>
      </c>
      <c r="I211" s="597"/>
      <c r="J211" s="597" t="s">
        <v>246</v>
      </c>
      <c r="K211" s="597"/>
      <c r="L211" s="597" t="s">
        <v>247</v>
      </c>
      <c r="M211" s="598"/>
      <c r="O211" s="204" t="s">
        <v>258</v>
      </c>
      <c r="P211" s="590" t="s">
        <v>292</v>
      </c>
      <c r="Q211" s="591"/>
      <c r="R211" s="591"/>
      <c r="S211" s="591"/>
      <c r="T211" s="591"/>
      <c r="U211" s="591"/>
      <c r="V211" s="591"/>
      <c r="W211" s="591"/>
      <c r="X211" s="591"/>
      <c r="Y211" s="591"/>
      <c r="Z211" s="591"/>
      <c r="AA211" s="591"/>
      <c r="AB211" s="591"/>
      <c r="AC211" s="591"/>
      <c r="AD211" s="591"/>
      <c r="AE211" s="592"/>
      <c r="AF211" s="590" t="s">
        <v>293</v>
      </c>
      <c r="AG211" s="591"/>
      <c r="AH211" s="591"/>
      <c r="AI211" s="591"/>
      <c r="AJ211" s="591"/>
      <c r="AK211" s="591"/>
      <c r="AL211" s="591"/>
      <c r="AM211" s="591"/>
      <c r="AN211" s="591"/>
      <c r="AO211" s="591"/>
      <c r="AP211" s="591"/>
      <c r="AQ211" s="591"/>
      <c r="AR211" s="591"/>
      <c r="AS211" s="591"/>
      <c r="AT211" s="591"/>
      <c r="AU211" s="592"/>
    </row>
    <row r="212" spans="1:48" ht="15" thickBot="1">
      <c r="E212" s="163"/>
      <c r="F212" s="221" t="s">
        <v>66</v>
      </c>
      <c r="G212" s="222" t="s">
        <v>249</v>
      </c>
      <c r="H212" s="222" t="s">
        <v>66</v>
      </c>
      <c r="I212" s="222" t="s">
        <v>249</v>
      </c>
      <c r="J212" s="222" t="s">
        <v>66</v>
      </c>
      <c r="K212" s="222" t="s">
        <v>249</v>
      </c>
      <c r="L212" s="222" t="s">
        <v>66</v>
      </c>
      <c r="M212" s="223" t="s">
        <v>249</v>
      </c>
      <c r="O212" s="205" t="s">
        <v>251</v>
      </c>
      <c r="P212" s="593" t="s">
        <v>276</v>
      </c>
      <c r="Q212" s="594"/>
      <c r="R212" s="594"/>
      <c r="S212" s="595"/>
      <c r="T212" s="593" t="s">
        <v>277</v>
      </c>
      <c r="U212" s="594"/>
      <c r="V212" s="594"/>
      <c r="W212" s="595"/>
      <c r="X212" s="593" t="s">
        <v>278</v>
      </c>
      <c r="Y212" s="594"/>
      <c r="Z212" s="594"/>
      <c r="AA212" s="595"/>
      <c r="AB212" s="593" t="s">
        <v>279</v>
      </c>
      <c r="AC212" s="594"/>
      <c r="AD212" s="594"/>
      <c r="AE212" s="595"/>
      <c r="AF212" s="593" t="s">
        <v>276</v>
      </c>
      <c r="AG212" s="594"/>
      <c r="AH212" s="594"/>
      <c r="AI212" s="595"/>
      <c r="AJ212" s="593" t="s">
        <v>277</v>
      </c>
      <c r="AK212" s="594"/>
      <c r="AL212" s="594"/>
      <c r="AM212" s="595"/>
      <c r="AN212" s="593" t="s">
        <v>278</v>
      </c>
      <c r="AO212" s="594"/>
      <c r="AP212" s="594"/>
      <c r="AQ212" s="595"/>
      <c r="AR212" s="593" t="s">
        <v>279</v>
      </c>
      <c r="AS212" s="594"/>
      <c r="AT212" s="594"/>
      <c r="AU212" s="595"/>
    </row>
    <row r="213" spans="1:48" ht="15" thickBot="1">
      <c r="A213" t="s">
        <v>248</v>
      </c>
      <c r="B213" s="163" t="e">
        <f>Задача_Расход</f>
        <v>#REF!</v>
      </c>
      <c r="D213" s="133">
        <v>1</v>
      </c>
      <c r="E213" s="133">
        <v>-40</v>
      </c>
      <c r="F213" s="220">
        <f>INDEX($R214:$AU228,$D213,1+VLOOKUP($B214,$B$351:$E$368,4,FALSE))</f>
        <v>1.49E-2</v>
      </c>
      <c r="G213" s="220">
        <f>INDEX($R214:$AU228,$D213,2+VLOOKUP($B214,$B$351:$E$368,4,FALSE))</f>
        <v>25.8</v>
      </c>
      <c r="H213" s="220">
        <f>INDEX($R214:$AU228,$D213,5+VLOOKUP($B214,$B$351:$E$368,4,FALSE))</f>
        <v>1.6400000000000001E-2</v>
      </c>
      <c r="I213" s="220">
        <f>INDEX($R214:$AU228,$D213,6+VLOOKUP($B214,$B$351:$E$368,4,FALSE))</f>
        <v>28.2</v>
      </c>
      <c r="J213" s="220">
        <f>INDEX($R214:$AU228,$D213,9+VLOOKUP($B214,$B$351:$E$368,4,FALSE))</f>
        <v>1.66E-2</v>
      </c>
      <c r="K213" s="220">
        <f>INDEX($R214:$AU228,$D213,10+VLOOKUP($B214,$B$351:$E$368,4,FALSE))</f>
        <v>28.94</v>
      </c>
      <c r="L213" s="220">
        <f>INDEX($R214:$AU228,$D213,13+VLOOKUP($B214,$B$351:$E$368,4,FALSE))</f>
        <v>1.7100000000000001E-2</v>
      </c>
      <c r="M213" s="220">
        <f>INDEX($R214:$AU228,$D213,14+VLOOKUP($B214,$B$351:$E$368,4,FALSE))</f>
        <v>31.48</v>
      </c>
      <c r="O213" s="206" t="s">
        <v>248</v>
      </c>
      <c r="P213" s="207">
        <v>3000</v>
      </c>
      <c r="Q213" s="208">
        <v>4000</v>
      </c>
      <c r="R213" s="208"/>
      <c r="S213" s="209"/>
      <c r="T213" s="207">
        <v>3000</v>
      </c>
      <c r="U213" s="208">
        <v>4000</v>
      </c>
      <c r="V213" s="208"/>
      <c r="W213" s="209"/>
      <c r="X213" s="207">
        <v>3000</v>
      </c>
      <c r="Y213" s="208">
        <v>4000</v>
      </c>
      <c r="Z213" s="208"/>
      <c r="AA213" s="209"/>
      <c r="AB213" s="207">
        <v>3000</v>
      </c>
      <c r="AC213" s="208">
        <v>4000</v>
      </c>
      <c r="AD213" s="208"/>
      <c r="AE213" s="209"/>
      <c r="AF213" s="207">
        <v>3000</v>
      </c>
      <c r="AG213" s="208">
        <v>4000</v>
      </c>
      <c r="AH213" s="208"/>
      <c r="AI213" s="209"/>
      <c r="AJ213" s="207">
        <v>3000</v>
      </c>
      <c r="AK213" s="208">
        <v>4000</v>
      </c>
      <c r="AL213" s="208"/>
      <c r="AM213" s="209"/>
      <c r="AN213" s="207">
        <v>3000</v>
      </c>
      <c r="AO213" s="208">
        <v>4000</v>
      </c>
      <c r="AP213" s="208"/>
      <c r="AQ213" s="209"/>
      <c r="AR213" s="207">
        <v>3000</v>
      </c>
      <c r="AS213" s="208">
        <v>4000</v>
      </c>
      <c r="AT213" s="208"/>
      <c r="AU213" s="209"/>
    </row>
    <row r="214" spans="1:48">
      <c r="A214" t="s">
        <v>250</v>
      </c>
      <c r="B214" s="163" t="s">
        <v>270</v>
      </c>
      <c r="D214" s="133">
        <v>2</v>
      </c>
      <c r="E214" s="133">
        <v>-35</v>
      </c>
      <c r="F214" s="203">
        <f>INDEX($R214:$AU228,$D214,1+VLOOKUP($B214,$B$351:$E$368,4,FALSE))</f>
        <v>1.4200000000000001E-2</v>
      </c>
      <c r="G214" s="203">
        <f>INDEX($R214:$AU228,$D214,2+VLOOKUP($B214,$B$351:$E$368,4,FALSE))</f>
        <v>24.6</v>
      </c>
      <c r="H214" s="203">
        <f>INDEX($R214:$AU228,$D214,5+VLOOKUP($B214,$B$351:$E$368,4,FALSE))</f>
        <v>1.5699999999999999E-2</v>
      </c>
      <c r="I214" s="203">
        <f>INDEX($R214:$AU228,$D214,6+VLOOKUP($B214,$B$351:$E$368,4,FALSE))</f>
        <v>27</v>
      </c>
      <c r="J214" s="203">
        <f>INDEX($R214:$AU228,$D214,9+VLOOKUP($B214,$B$351:$E$368,4,FALSE))</f>
        <v>1.5900000000000001E-2</v>
      </c>
      <c r="K214" s="203">
        <f>INDEX($R214:$AU228,$D214,10+VLOOKUP($B214,$B$351:$E$368,4,FALSE))</f>
        <v>27.73</v>
      </c>
      <c r="L214" s="203">
        <f>INDEX($R214:$AU228,$D214,13+VLOOKUP($B214,$B$351:$E$368,4,FALSE))</f>
        <v>1.6400000000000001E-2</v>
      </c>
      <c r="M214" s="203">
        <f>INDEX($R214:$AU228,$D214,14+VLOOKUP($B214,$B$351:$E$368,4,FALSE))</f>
        <v>30.23</v>
      </c>
      <c r="O214" s="210">
        <v>-40</v>
      </c>
      <c r="P214" s="211">
        <v>52.658181818181802</v>
      </c>
      <c r="Q214" s="212">
        <v>62.670303030303103</v>
      </c>
      <c r="R214" s="203">
        <f>ROUND((Q214-P214)/(Q213-P213),4)</f>
        <v>0.01</v>
      </c>
      <c r="S214" s="217">
        <f>ROUND(P214-P213*R214,2)</f>
        <v>22.66</v>
      </c>
      <c r="T214" s="211">
        <v>58.109696969696898</v>
      </c>
      <c r="U214" s="212">
        <v>69.16</v>
      </c>
      <c r="V214" s="203">
        <f>ROUND((U214-T214)/(U213-T213),4)</f>
        <v>1.11E-2</v>
      </c>
      <c r="W214" s="217">
        <f>ROUND(T214-T213*V214,2)</f>
        <v>24.81</v>
      </c>
      <c r="X214" s="211">
        <v>58.749696969696899</v>
      </c>
      <c r="Y214" s="212">
        <v>69.877575757575798</v>
      </c>
      <c r="Z214" s="203">
        <f>ROUND((Y214-X214)/(Y213-X213),4)</f>
        <v>1.11E-2</v>
      </c>
      <c r="AA214" s="217">
        <f>ROUND(X214-X213*Z214,2)</f>
        <v>25.45</v>
      </c>
      <c r="AB214" s="211">
        <v>60.812121212121198</v>
      </c>
      <c r="AC214" s="212">
        <v>72.122424242424202</v>
      </c>
      <c r="AD214" s="203">
        <f>ROUND((AC214-AB214)/(AC213-AB213),4)</f>
        <v>1.1299999999999999E-2</v>
      </c>
      <c r="AE214" s="217">
        <f>ROUND(AB214-AB213*AD214,2)</f>
        <v>26.91</v>
      </c>
      <c r="AF214" s="211">
        <v>70.5</v>
      </c>
      <c r="AG214" s="212">
        <v>85.398181818181797</v>
      </c>
      <c r="AH214" s="203">
        <f>ROUND((AG214-AF214)/(AG213-AF213),4)</f>
        <v>1.49E-2</v>
      </c>
      <c r="AI214" s="217">
        <f>ROUND(AF214-AF213*AH214,2)</f>
        <v>25.8</v>
      </c>
      <c r="AJ214" s="211">
        <v>77.400000000000006</v>
      </c>
      <c r="AK214" s="212">
        <v>93.835757575757597</v>
      </c>
      <c r="AL214" s="203">
        <f>ROUND((AK214-AJ214)/(AK213-AJ213),4)</f>
        <v>1.6400000000000001E-2</v>
      </c>
      <c r="AM214" s="217">
        <f>ROUND(AJ214-AJ213*AL214,2)</f>
        <v>28.2</v>
      </c>
      <c r="AN214" s="211">
        <v>78.7351515151515</v>
      </c>
      <c r="AO214" s="212">
        <v>95.315151515151499</v>
      </c>
      <c r="AP214" s="203">
        <f>ROUND((AO214-AN214)/(AO213-AN213),4)</f>
        <v>1.66E-2</v>
      </c>
      <c r="AQ214" s="217">
        <f>ROUND(AN214-AN213*AP214,2)</f>
        <v>28.94</v>
      </c>
      <c r="AR214" s="211">
        <v>82.775757575757595</v>
      </c>
      <c r="AS214" s="212">
        <v>99.875757575757603</v>
      </c>
      <c r="AT214" s="203">
        <f>ROUND((AS214-AR214)/(AS213-AR213),4)</f>
        <v>1.7100000000000001E-2</v>
      </c>
      <c r="AU214" s="217">
        <f>ROUND(AR214-AR213*AT214,2)</f>
        <v>31.48</v>
      </c>
    </row>
    <row r="215" spans="1:48">
      <c r="A215" t="s">
        <v>251</v>
      </c>
      <c r="B215" s="163" t="e">
        <f>Задача_НагревательТеплоноситель</f>
        <v>#REF!</v>
      </c>
      <c r="D215" s="133">
        <v>3</v>
      </c>
      <c r="E215" s="133">
        <v>-30</v>
      </c>
      <c r="F215" s="203">
        <f>INDEX($R214:$AU228,$D215,1+VLOOKUP($B214,$B$351:$E$368,4,FALSE))</f>
        <v>1.35E-2</v>
      </c>
      <c r="G215" s="203">
        <f>INDEX($R214:$AU228,$D215,2+VLOOKUP($B214,$B$351:$E$368,4,FALSE))</f>
        <v>23.4</v>
      </c>
      <c r="H215" s="203">
        <f>INDEX($R214:$AU228,$D215,5+VLOOKUP($B214,$B$351:$E$368,4,FALSE))</f>
        <v>1.4999999999999999E-2</v>
      </c>
      <c r="I215" s="203">
        <f>INDEX($R214:$AU228,$D215,6+VLOOKUP($B214,$B$351:$E$368,4,FALSE))</f>
        <v>25.8</v>
      </c>
      <c r="J215" s="203">
        <f>INDEX($R214:$AU228,$D215,9+VLOOKUP($B214,$B$351:$E$368,4,FALSE))</f>
        <v>1.52E-2</v>
      </c>
      <c r="K215" s="203">
        <f>INDEX($R214:$AU228,$D215,10+VLOOKUP($B214,$B$351:$E$368,4,FALSE))</f>
        <v>26.5</v>
      </c>
      <c r="L215" s="203">
        <f>INDEX($R214:$AU228,$D215,13+VLOOKUP($B214,$B$351:$E$368,4,FALSE))</f>
        <v>1.5599999999999999E-2</v>
      </c>
      <c r="M215" s="203">
        <f>INDEX($R214:$AU228,$D215,14+VLOOKUP($B214,$B$351:$E$368,4,FALSE))</f>
        <v>29.3</v>
      </c>
      <c r="O215" s="215">
        <v>-35</v>
      </c>
      <c r="P215" s="211">
        <v>50.12</v>
      </c>
      <c r="Q215" s="212">
        <v>59.633333333333397</v>
      </c>
      <c r="R215" s="203">
        <f>ROUND((Q215-P215)/(Q213-P213),4)</f>
        <v>9.4999999999999998E-3</v>
      </c>
      <c r="S215" s="217">
        <f>ROUND(P215-P213*R215,2)</f>
        <v>21.62</v>
      </c>
      <c r="T215" s="211">
        <v>55.566666666666599</v>
      </c>
      <c r="U215" s="212">
        <v>66.12</v>
      </c>
      <c r="V215" s="203">
        <f>ROUND((U215-T215)/(U213-T213),4)</f>
        <v>1.06E-2</v>
      </c>
      <c r="W215" s="217">
        <f>ROUND(T215-T213*V215,2)</f>
        <v>23.77</v>
      </c>
      <c r="X215" s="211">
        <v>56.206666666666599</v>
      </c>
      <c r="Y215" s="212">
        <v>66.8333333333333</v>
      </c>
      <c r="Z215" s="203">
        <f>ROUND((Y215-X215)/(Y213-X213),4)</f>
        <v>1.06E-2</v>
      </c>
      <c r="AA215" s="217">
        <f>ROUND(X215-X213*Z215,2)</f>
        <v>24.41</v>
      </c>
      <c r="AB215" s="211">
        <v>58.253333333333302</v>
      </c>
      <c r="AC215" s="212">
        <v>69.066666666666706</v>
      </c>
      <c r="AD215" s="203">
        <f>ROUND((AC215-AB215)/(AC213-AB213),4)</f>
        <v>1.0800000000000001E-2</v>
      </c>
      <c r="AE215" s="217">
        <f>ROUND(AB215-AB213*AD215,2)</f>
        <v>25.85</v>
      </c>
      <c r="AF215" s="211">
        <v>67.2</v>
      </c>
      <c r="AG215" s="212">
        <v>81.38</v>
      </c>
      <c r="AH215" s="203">
        <f>ROUND((AG215-AF215)/(AG213-AF213),4)</f>
        <v>1.4200000000000001E-2</v>
      </c>
      <c r="AI215" s="217">
        <f>ROUND(AF215-AF213*AH215,2)</f>
        <v>24.6</v>
      </c>
      <c r="AJ215" s="211">
        <v>74.099999999999994</v>
      </c>
      <c r="AK215" s="212">
        <v>89.813333333333304</v>
      </c>
      <c r="AL215" s="203">
        <f>ROUND((AK215-AJ215)/(AK213-AJ213),4)</f>
        <v>1.5699999999999999E-2</v>
      </c>
      <c r="AM215" s="217">
        <f>ROUND(AJ215-AJ213*AL215,2)</f>
        <v>27</v>
      </c>
      <c r="AN215" s="211">
        <v>75.426666666666705</v>
      </c>
      <c r="AO215" s="212">
        <v>91.286666666666704</v>
      </c>
      <c r="AP215" s="203">
        <f>ROUND((AO215-AN215)/(AO213-AN213),4)</f>
        <v>1.5900000000000001E-2</v>
      </c>
      <c r="AQ215" s="217">
        <f>ROUND(AN215-AN213*AP215,2)</f>
        <v>27.73</v>
      </c>
      <c r="AR215" s="211">
        <v>79.433333333333294</v>
      </c>
      <c r="AS215" s="212">
        <v>95.813333333333304</v>
      </c>
      <c r="AT215" s="203">
        <f>ROUND((AS215-AR215)/(AS213-AR213),4)</f>
        <v>1.6400000000000001E-2</v>
      </c>
      <c r="AU215" s="217">
        <f>ROUND(AR215-AR213*AT215,2)</f>
        <v>30.23</v>
      </c>
    </row>
    <row r="216" spans="1:48">
      <c r="A216" t="s">
        <v>253</v>
      </c>
      <c r="B216" s="163" t="e">
        <f>VLOOKUP("700x400",ПП_Расчет!C$10:F$19,4,0)</f>
        <v>#REF!</v>
      </c>
      <c r="D216" s="133">
        <v>4</v>
      </c>
      <c r="E216" s="133">
        <v>-25</v>
      </c>
      <c r="F216" s="203">
        <f>INDEX($R214:$AU228,$D216,1+VLOOKUP($B214,$B$351:$E$368,4,FALSE))</f>
        <v>1.2699999999999999E-2</v>
      </c>
      <c r="G216" s="203">
        <f>INDEX($R214:$AU228,$D216,2+VLOOKUP($B214,$B$351:$E$368,4,FALSE))</f>
        <v>22.5</v>
      </c>
      <c r="H216" s="203">
        <f>INDEX($R214:$AU228,$D216,5+VLOOKUP($B214,$B$351:$E$368,4,FALSE))</f>
        <v>1.43E-2</v>
      </c>
      <c r="I216" s="203">
        <f>INDEX($R214:$AU228,$D216,6+VLOOKUP($B214,$B$351:$E$368,4,FALSE))</f>
        <v>24.6</v>
      </c>
      <c r="J216" s="203">
        <f>INDEX($R214:$AU228,$D216,9+VLOOKUP($B214,$B$351:$E$368,4,FALSE))</f>
        <v>1.44E-2</v>
      </c>
      <c r="K216" s="203">
        <f>INDEX($R214:$AU228,$D216,10+VLOOKUP($B214,$B$351:$E$368,4,FALSE))</f>
        <v>25.6</v>
      </c>
      <c r="L216" s="203">
        <f>INDEX($R214:$AU228,$D216,13+VLOOKUP($B214,$B$351:$E$368,4,FALSE))</f>
        <v>1.4999999999999999E-2</v>
      </c>
      <c r="M216" s="203">
        <f>INDEX($R214:$AU228,$D216,14+VLOOKUP($B214,$B$351:$E$368,4,FALSE))</f>
        <v>27.7</v>
      </c>
      <c r="O216" s="215">
        <v>-30</v>
      </c>
      <c r="P216" s="211">
        <v>47.6</v>
      </c>
      <c r="Q216" s="212">
        <v>56.6</v>
      </c>
      <c r="R216" s="203">
        <f>ROUND((Q216-P216)/(Q213-P213),4)</f>
        <v>8.9999999999999993E-3</v>
      </c>
      <c r="S216" s="217">
        <f>ROUND(P216-P213*R216,2)</f>
        <v>20.6</v>
      </c>
      <c r="T216" s="211">
        <v>53</v>
      </c>
      <c r="U216" s="212">
        <v>63.1</v>
      </c>
      <c r="V216" s="203">
        <f>ROUND((U216-T216)/(U213-T213),4)</f>
        <v>1.01E-2</v>
      </c>
      <c r="W216" s="217">
        <f>ROUND(T216-T213*V216,2)</f>
        <v>22.7</v>
      </c>
      <c r="X216" s="211">
        <v>53.7</v>
      </c>
      <c r="Y216" s="212">
        <v>63.8</v>
      </c>
      <c r="Z216" s="203">
        <f>ROUND((Y216-X216)/(Y213-X213),4)</f>
        <v>1.01E-2</v>
      </c>
      <c r="AA216" s="217">
        <f>ROUND(X216-X213*Z216,2)</f>
        <v>23.4</v>
      </c>
      <c r="AB216" s="211">
        <v>55.7</v>
      </c>
      <c r="AC216" s="212">
        <v>66</v>
      </c>
      <c r="AD216" s="203">
        <f>ROUND((AC216-AB216)/(AC213-AB213),4)</f>
        <v>1.03E-2</v>
      </c>
      <c r="AE216" s="217">
        <f>ROUND(AB216-AB213*AD216,2)</f>
        <v>24.8</v>
      </c>
      <c r="AF216" s="211">
        <v>63.9</v>
      </c>
      <c r="AG216" s="212">
        <v>77.400000000000006</v>
      </c>
      <c r="AH216" s="203">
        <f>ROUND((AG216-AF216)/(AG213-AF213),4)</f>
        <v>1.35E-2</v>
      </c>
      <c r="AI216" s="217">
        <f>ROUND(AF216-AF213*AH216,2)</f>
        <v>23.4</v>
      </c>
      <c r="AJ216" s="211">
        <v>70.8</v>
      </c>
      <c r="AK216" s="212">
        <v>85.8</v>
      </c>
      <c r="AL216" s="203">
        <f>ROUND((AK216-AJ216)/(AK213-AJ213),4)</f>
        <v>1.4999999999999999E-2</v>
      </c>
      <c r="AM216" s="217">
        <f>ROUND(AJ216-AJ213*AL216,2)</f>
        <v>25.8</v>
      </c>
      <c r="AN216" s="211">
        <v>72.099999999999994</v>
      </c>
      <c r="AO216" s="212">
        <v>87.3</v>
      </c>
      <c r="AP216" s="203">
        <f>ROUND((AO216-AN216)/(AO213-AN213),4)</f>
        <v>1.52E-2</v>
      </c>
      <c r="AQ216" s="217">
        <f>ROUND(AN216-AN213*AP216,2)</f>
        <v>26.5</v>
      </c>
      <c r="AR216" s="211">
        <v>76.099999999999994</v>
      </c>
      <c r="AS216" s="212">
        <v>91.7</v>
      </c>
      <c r="AT216" s="203">
        <f>ROUND((AS216-AR216)/(AS213-AR213),4)</f>
        <v>1.5599999999999999E-2</v>
      </c>
      <c r="AU216" s="217">
        <f>ROUND(AR216-AR213*AT216,2)</f>
        <v>29.3</v>
      </c>
    </row>
    <row r="217" spans="1:48">
      <c r="D217" s="133">
        <v>5</v>
      </c>
      <c r="E217" s="133">
        <v>-20</v>
      </c>
      <c r="F217" s="203">
        <f>INDEX($R214:$AU228,$D217,1+VLOOKUP($B214,$B$351:$E$368,4,FALSE))</f>
        <v>1.2E-2</v>
      </c>
      <c r="G217" s="203">
        <f>INDEX($R214:$AU228,$D217,2+VLOOKUP($B214,$B$351:$E$368,4,FALSE))</f>
        <v>21.3</v>
      </c>
      <c r="H217" s="203">
        <f>INDEX($R214:$AU228,$D217,5+VLOOKUP($B214,$B$351:$E$368,4,FALSE))</f>
        <v>1.35E-2</v>
      </c>
      <c r="I217" s="203">
        <f>INDEX($R214:$AU228,$D217,6+VLOOKUP($B214,$B$351:$E$368,4,FALSE))</f>
        <v>23.7</v>
      </c>
      <c r="J217" s="203">
        <f>INDEX($R214:$AU228,$D217,9+VLOOKUP($B214,$B$351:$E$368,4,FALSE))</f>
        <v>1.37E-2</v>
      </c>
      <c r="K217" s="203">
        <f>INDEX($R214:$AU228,$D217,10+VLOOKUP($B214,$B$351:$E$368,4,FALSE))</f>
        <v>24.4</v>
      </c>
      <c r="L217" s="203">
        <f>INDEX($R214:$AU228,$D217,13+VLOOKUP($B214,$B$351:$E$368,4,FALSE))</f>
        <v>1.4200000000000001E-2</v>
      </c>
      <c r="M217" s="203">
        <f>INDEX($R214:$AU228,$D217,14+VLOOKUP($B214,$B$351:$E$368,4,FALSE))</f>
        <v>26.8</v>
      </c>
      <c r="O217" s="215">
        <v>-25</v>
      </c>
      <c r="P217" s="211">
        <v>45</v>
      </c>
      <c r="Q217" s="212">
        <v>53.6</v>
      </c>
      <c r="R217" s="203">
        <f>ROUND((Q217-P217)/(Q213-P213),4)</f>
        <v>8.6E-3</v>
      </c>
      <c r="S217" s="217">
        <f>ROUND(P217-P213*R217,2)</f>
        <v>19.2</v>
      </c>
      <c r="T217" s="211">
        <v>50.5</v>
      </c>
      <c r="U217" s="212">
        <v>60</v>
      </c>
      <c r="V217" s="203">
        <f>ROUND((U217-T217)/(U213-T213),4)</f>
        <v>9.4999999999999998E-3</v>
      </c>
      <c r="W217" s="217">
        <f>ROUND(T217-T213*V217,2)</f>
        <v>22</v>
      </c>
      <c r="X217" s="211">
        <v>51.1</v>
      </c>
      <c r="Y217" s="212">
        <v>60.7</v>
      </c>
      <c r="Z217" s="203">
        <f>ROUND((Y217-X217)/(Y213-X213),4)</f>
        <v>9.5999999999999992E-3</v>
      </c>
      <c r="AA217" s="217">
        <f>ROUND(X217-X213*Z217,2)</f>
        <v>22.3</v>
      </c>
      <c r="AB217" s="211">
        <v>53.1</v>
      </c>
      <c r="AC217" s="212">
        <v>63</v>
      </c>
      <c r="AD217" s="203">
        <f>ROUND((AC217-AB217)/(AC213-AB213),4)</f>
        <v>9.9000000000000008E-3</v>
      </c>
      <c r="AE217" s="217">
        <f>ROUND(AB217-AB213*AD217,2)</f>
        <v>23.4</v>
      </c>
      <c r="AF217" s="211">
        <v>60.6</v>
      </c>
      <c r="AG217" s="212">
        <v>73.3</v>
      </c>
      <c r="AH217" s="203">
        <f>ROUND((AG217-AF217)/(AG213-AF213),4)</f>
        <v>1.2699999999999999E-2</v>
      </c>
      <c r="AI217" s="217">
        <f>ROUND(AF217-AF213*AH217,2)</f>
        <v>22.5</v>
      </c>
      <c r="AJ217" s="211">
        <v>67.5</v>
      </c>
      <c r="AK217" s="212">
        <v>81.8</v>
      </c>
      <c r="AL217" s="203">
        <f>ROUND((AK217-AJ217)/(AK213-AJ213),4)</f>
        <v>1.43E-2</v>
      </c>
      <c r="AM217" s="217">
        <f>ROUND(AJ217-AJ213*AL217,2)</f>
        <v>24.6</v>
      </c>
      <c r="AN217" s="211">
        <v>68.8</v>
      </c>
      <c r="AO217" s="212">
        <v>83.2</v>
      </c>
      <c r="AP217" s="203">
        <f>ROUND((AO217-AN217)/(AO213-AN213),4)</f>
        <v>1.44E-2</v>
      </c>
      <c r="AQ217" s="217">
        <f>ROUND(AN217-AN213*AP217,2)</f>
        <v>25.6</v>
      </c>
      <c r="AR217" s="211">
        <v>72.7</v>
      </c>
      <c r="AS217" s="212">
        <v>87.7</v>
      </c>
      <c r="AT217" s="203">
        <f>ROUND((AS217-AR217)/(AS213-AR213),4)</f>
        <v>1.4999999999999999E-2</v>
      </c>
      <c r="AU217" s="217">
        <f>ROUND(AR217-AR213*AT217,2)</f>
        <v>27.7</v>
      </c>
    </row>
    <row r="218" spans="1:48">
      <c r="A218" t="s">
        <v>66</v>
      </c>
      <c r="B218" s="163" t="e">
        <f>VLOOKUP(B216,E213:M227,VLOOKUP(B215,B$345:D$348,2,FALSE))</f>
        <v>#REF!</v>
      </c>
      <c r="D218" s="133">
        <v>6</v>
      </c>
      <c r="E218" s="133">
        <v>-15</v>
      </c>
      <c r="F218" s="203">
        <f>INDEX($R214:$AU228,$D218,1+VLOOKUP($B214,$B$351:$E$368,4,FALSE))</f>
        <v>1.1299999999999999E-2</v>
      </c>
      <c r="G218" s="203">
        <f>INDEX($R214:$AU228,$D218,2+VLOOKUP($B214,$B$351:$E$368,4,FALSE))</f>
        <v>20.100000000000001</v>
      </c>
      <c r="H218" s="203">
        <f>INDEX($R214:$AU228,$D218,5+VLOOKUP($B214,$B$351:$E$368,4,FALSE))</f>
        <v>1.2800000000000001E-2</v>
      </c>
      <c r="I218" s="203">
        <f>INDEX($R214:$AU228,$D218,6+VLOOKUP($B214,$B$351:$E$368,4,FALSE))</f>
        <v>22.5</v>
      </c>
      <c r="J218" s="203">
        <f>INDEX($R214:$AU228,$D218,9+VLOOKUP($B214,$B$351:$E$368,4,FALSE))</f>
        <v>1.29E-2</v>
      </c>
      <c r="K218" s="203">
        <f>INDEX($R214:$AU228,$D218,10+VLOOKUP($B214,$B$351:$E$368,4,FALSE))</f>
        <v>23.5</v>
      </c>
      <c r="L218" s="203">
        <f>INDEX($R214:$AU228,$D218,13+VLOOKUP($B214,$B$351:$E$368,4,FALSE))</f>
        <v>1.35E-2</v>
      </c>
      <c r="M218" s="203">
        <f>INDEX($R214:$AU228,$D218,14+VLOOKUP($B214,$B$351:$E$368,4,FALSE))</f>
        <v>25.6</v>
      </c>
      <c r="O218" s="215">
        <v>-20</v>
      </c>
      <c r="P218" s="211">
        <v>42.5</v>
      </c>
      <c r="Q218" s="212">
        <v>50.5</v>
      </c>
      <c r="R218" s="203">
        <f>ROUND((Q218-P218)/(Q213-P213),4)</f>
        <v>8.0000000000000002E-3</v>
      </c>
      <c r="S218" s="217">
        <f>ROUND(P218-P213*R218,2)</f>
        <v>18.5</v>
      </c>
      <c r="T218" s="211">
        <v>47.9</v>
      </c>
      <c r="U218" s="212">
        <v>57</v>
      </c>
      <c r="V218" s="203">
        <f>ROUND((U218-T218)/(U213-T213),4)</f>
        <v>9.1000000000000004E-3</v>
      </c>
      <c r="W218" s="217">
        <f>ROUND(T218-T213*V218,2)</f>
        <v>20.6</v>
      </c>
      <c r="X218" s="211">
        <v>48.6</v>
      </c>
      <c r="Y218" s="212">
        <v>57.7</v>
      </c>
      <c r="Z218" s="203">
        <f>ROUND((Y218-X218)/(Y213-X213),4)</f>
        <v>9.1000000000000004E-3</v>
      </c>
      <c r="AA218" s="217">
        <f>ROUND(X218-X213*Z218,2)</f>
        <v>21.3</v>
      </c>
      <c r="AB218" s="211">
        <v>50.6</v>
      </c>
      <c r="AC218" s="212">
        <v>59.9</v>
      </c>
      <c r="AD218" s="203">
        <f>ROUND((AC218-AB218)/(AC213-AB213),4)</f>
        <v>9.2999999999999992E-3</v>
      </c>
      <c r="AE218" s="217">
        <f>ROUND(AB218-AB213*AD218,2)</f>
        <v>22.7</v>
      </c>
      <c r="AF218" s="211">
        <v>57.3</v>
      </c>
      <c r="AG218" s="212">
        <v>69.3</v>
      </c>
      <c r="AH218" s="203">
        <f>ROUND((AG218-AF218)/(AG213-AF213),4)</f>
        <v>1.2E-2</v>
      </c>
      <c r="AI218" s="217">
        <f>ROUND(AF218-AF213*AH218,2)</f>
        <v>21.3</v>
      </c>
      <c r="AJ218" s="211">
        <v>64.2</v>
      </c>
      <c r="AK218" s="212">
        <v>77.7</v>
      </c>
      <c r="AL218" s="203">
        <f>ROUND((AK218-AJ218)/(AK213-AJ213),4)</f>
        <v>1.35E-2</v>
      </c>
      <c r="AM218" s="217">
        <f>ROUND(AJ218-AJ213*AL218,2)</f>
        <v>23.7</v>
      </c>
      <c r="AN218" s="211">
        <v>65.5</v>
      </c>
      <c r="AO218" s="212">
        <v>79.2</v>
      </c>
      <c r="AP218" s="203">
        <f>ROUND((AO218-AN218)/(AO213-AN213),4)</f>
        <v>1.37E-2</v>
      </c>
      <c r="AQ218" s="217">
        <f>ROUND(AN218-AN213*AP218,2)</f>
        <v>24.4</v>
      </c>
      <c r="AR218" s="211">
        <v>69.400000000000006</v>
      </c>
      <c r="AS218" s="212">
        <v>83.6</v>
      </c>
      <c r="AT218" s="203">
        <f>ROUND((AS218-AR218)/(AS213-AR213),4)</f>
        <v>1.4200000000000001E-2</v>
      </c>
      <c r="AU218" s="217">
        <f>ROUND(AR218-AR213*AT218,2)</f>
        <v>26.8</v>
      </c>
    </row>
    <row r="219" spans="1:48">
      <c r="A219" t="s">
        <v>249</v>
      </c>
      <c r="B219" s="163" t="e">
        <f>VLOOKUP(B216,E213:M227,VLOOKUP(B215,B$345:D$348,3,FALSE))</f>
        <v>#REF!</v>
      </c>
      <c r="D219" s="133">
        <v>7</v>
      </c>
      <c r="E219" s="133">
        <v>-10</v>
      </c>
      <c r="F219" s="203">
        <f>INDEX($R214:$AU228,$D219,1+VLOOKUP($B214,$B$351:$E$368,4,FALSE))</f>
        <v>1.06E-2</v>
      </c>
      <c r="G219" s="203">
        <f>INDEX($R214:$AU228,$D219,2+VLOOKUP($B214,$B$351:$E$368,4,FALSE))</f>
        <v>18.899999999999999</v>
      </c>
      <c r="H219" s="203">
        <f>INDEX($R214:$AU228,$D219,5+VLOOKUP($B214,$B$351:$E$368,4,FALSE))</f>
        <v>1.21E-2</v>
      </c>
      <c r="I219" s="203">
        <f>INDEX($R214:$AU228,$D219,6+VLOOKUP($B214,$B$351:$E$368,4,FALSE))</f>
        <v>21.3</v>
      </c>
      <c r="J219" s="203">
        <f>INDEX($R214:$AU228,$D219,9+VLOOKUP($B214,$B$351:$E$368,4,FALSE))</f>
        <v>1.23E-2</v>
      </c>
      <c r="K219" s="203">
        <f>INDEX($R214:$AU228,$D219,10+VLOOKUP($B214,$B$351:$E$368,4,FALSE))</f>
        <v>22</v>
      </c>
      <c r="L219" s="203">
        <f>INDEX($R214:$AU228,$D219,13+VLOOKUP($B214,$B$351:$E$368,4,FALSE))</f>
        <v>1.2800000000000001E-2</v>
      </c>
      <c r="M219" s="203">
        <f>INDEX($R214:$AU228,$D219,14+VLOOKUP($B214,$B$351:$E$368,4,FALSE))</f>
        <v>24.3</v>
      </c>
      <c r="O219" s="215">
        <v>-15</v>
      </c>
      <c r="P219" s="211">
        <v>40</v>
      </c>
      <c r="Q219" s="212">
        <v>47.5</v>
      </c>
      <c r="R219" s="203">
        <f>ROUND((Q219-P219)/(Q213-P213),4)</f>
        <v>7.4999999999999997E-3</v>
      </c>
      <c r="S219" s="217">
        <f>ROUND(P219-P213*R219,2)</f>
        <v>17.5</v>
      </c>
      <c r="T219" s="211">
        <v>45.4</v>
      </c>
      <c r="U219" s="212">
        <v>54</v>
      </c>
      <c r="V219" s="203">
        <f>ROUND((U219-T219)/(U213-T213),4)</f>
        <v>8.6E-3</v>
      </c>
      <c r="W219" s="217">
        <f>ROUND(T219-T213*V219,2)</f>
        <v>19.600000000000001</v>
      </c>
      <c r="X219" s="211">
        <v>46</v>
      </c>
      <c r="Y219" s="212">
        <v>54.7</v>
      </c>
      <c r="Z219" s="203">
        <f>ROUND((Y219-X219)/(Y213-X213),4)</f>
        <v>8.6999999999999994E-3</v>
      </c>
      <c r="AA219" s="217">
        <f>ROUND(X219-X213*Z219,2)</f>
        <v>19.899999999999999</v>
      </c>
      <c r="AB219" s="211">
        <v>48</v>
      </c>
      <c r="AC219" s="212">
        <v>56.8</v>
      </c>
      <c r="AD219" s="203">
        <f>ROUND((AC219-AB219)/(AC213-AB213),4)</f>
        <v>8.8000000000000005E-3</v>
      </c>
      <c r="AE219" s="217">
        <f>ROUND(AB219-AB213*AD219,2)</f>
        <v>21.6</v>
      </c>
      <c r="AF219" s="211">
        <v>54</v>
      </c>
      <c r="AG219" s="212">
        <v>65.3</v>
      </c>
      <c r="AH219" s="203">
        <f>ROUND((AG219-AF219)/(AG213-AF213),4)</f>
        <v>1.1299999999999999E-2</v>
      </c>
      <c r="AI219" s="217">
        <f>ROUND(AF219-AF213*AH219,2)</f>
        <v>20.100000000000001</v>
      </c>
      <c r="AJ219" s="211">
        <v>60.9</v>
      </c>
      <c r="AK219" s="212">
        <v>73.7</v>
      </c>
      <c r="AL219" s="203">
        <f>ROUND((AK219-AJ219)/(AK213-AJ213),4)</f>
        <v>1.2800000000000001E-2</v>
      </c>
      <c r="AM219" s="217">
        <f>ROUND(AJ219-AJ213*AL219,2)</f>
        <v>22.5</v>
      </c>
      <c r="AN219" s="211">
        <v>62.2</v>
      </c>
      <c r="AO219" s="212">
        <v>75.099999999999994</v>
      </c>
      <c r="AP219" s="203">
        <f>ROUND((AO219-AN219)/(AO213-AN213),4)</f>
        <v>1.29E-2</v>
      </c>
      <c r="AQ219" s="217">
        <f>ROUND(AN219-AN213*AP219,2)</f>
        <v>23.5</v>
      </c>
      <c r="AR219" s="211">
        <v>66.099999999999994</v>
      </c>
      <c r="AS219" s="212">
        <v>79.599999999999994</v>
      </c>
      <c r="AT219" s="203">
        <f>ROUND((AS219-AR219)/(AS213-AR213),4)</f>
        <v>1.35E-2</v>
      </c>
      <c r="AU219" s="217">
        <f>ROUND(AR219-AR213*AT219,2)</f>
        <v>25.6</v>
      </c>
    </row>
    <row r="220" spans="1:48">
      <c r="D220" s="133">
        <v>8</v>
      </c>
      <c r="E220" s="133">
        <v>-5</v>
      </c>
      <c r="F220" s="203">
        <f>INDEX($R214:$AU228,$D220,1+VLOOKUP($B214,$B$351:$E$368,4,FALSE))</f>
        <v>9.9000000000000008E-3</v>
      </c>
      <c r="G220" s="203">
        <f>INDEX($R214:$AU228,$D220,2+VLOOKUP($B214,$B$351:$E$368,4,FALSE))</f>
        <v>17.7</v>
      </c>
      <c r="H220" s="203">
        <f>INDEX($R214:$AU228,$D220,5+VLOOKUP($B214,$B$351:$E$368,4,FALSE))</f>
        <v>1.14E-2</v>
      </c>
      <c r="I220" s="203">
        <f>INDEX($R214:$AU228,$D220,6+VLOOKUP($B214,$B$351:$E$368,4,FALSE))</f>
        <v>20.100000000000001</v>
      </c>
      <c r="J220" s="203">
        <f>INDEX($R214:$AU228,$D220,9+VLOOKUP($B214,$B$351:$E$368,4,FALSE))</f>
        <v>1.15E-2</v>
      </c>
      <c r="K220" s="203">
        <f>INDEX($R214:$AU228,$D220,10+VLOOKUP($B214,$B$351:$E$368,4,FALSE))</f>
        <v>21.1</v>
      </c>
      <c r="L220" s="203">
        <f>INDEX($R214:$AU228,$D220,13+VLOOKUP($B214,$B$351:$E$368,4,FALSE))</f>
        <v>1.21E-2</v>
      </c>
      <c r="M220" s="203">
        <f>INDEX($R214:$AU228,$D220,14+VLOOKUP($B214,$B$351:$E$368,4,FALSE))</f>
        <v>23.1</v>
      </c>
      <c r="O220" s="215">
        <v>-10</v>
      </c>
      <c r="P220" s="211">
        <v>37.4</v>
      </c>
      <c r="Q220" s="212">
        <v>44.4</v>
      </c>
      <c r="R220" s="203">
        <f>ROUND((Q220-P220)/(Q213-P213),4)</f>
        <v>7.0000000000000001E-3</v>
      </c>
      <c r="S220" s="217">
        <f>ROUND(P220-P213*R220,2)</f>
        <v>16.399999999999999</v>
      </c>
      <c r="T220" s="211">
        <v>42.9</v>
      </c>
      <c r="U220" s="212">
        <v>50.9</v>
      </c>
      <c r="V220" s="203">
        <f>ROUND((U220-T220)/(U213-T213),4)</f>
        <v>8.0000000000000002E-3</v>
      </c>
      <c r="W220" s="217">
        <f>ROUND(T220-T213*V220,2)</f>
        <v>18.899999999999999</v>
      </c>
      <c r="X220" s="211">
        <v>43.5</v>
      </c>
      <c r="Y220" s="212">
        <v>51.6</v>
      </c>
      <c r="Z220" s="203">
        <f>ROUND((Y220-X220)/(Y213-X213),4)</f>
        <v>8.0999999999999996E-3</v>
      </c>
      <c r="AA220" s="217">
        <f>ROUND(X220-X213*Z220,2)</f>
        <v>19.2</v>
      </c>
      <c r="AB220" s="211">
        <v>45.5</v>
      </c>
      <c r="AC220" s="212">
        <v>53.8</v>
      </c>
      <c r="AD220" s="203">
        <f>ROUND((AC220-AB220)/(AC213-AB213),4)</f>
        <v>8.3000000000000001E-3</v>
      </c>
      <c r="AE220" s="217">
        <f>ROUND(AB220-AB213*AD220,2)</f>
        <v>20.6</v>
      </c>
      <c r="AF220" s="211">
        <v>50.7</v>
      </c>
      <c r="AG220" s="212">
        <v>61.3</v>
      </c>
      <c r="AH220" s="203">
        <f>ROUND((AG220-AF220)/(AG213-AF213),4)</f>
        <v>1.06E-2</v>
      </c>
      <c r="AI220" s="217">
        <f>ROUND(AF220-AF213*AH220,2)</f>
        <v>18.899999999999999</v>
      </c>
      <c r="AJ220" s="211">
        <v>57.6</v>
      </c>
      <c r="AK220" s="212">
        <v>69.7</v>
      </c>
      <c r="AL220" s="203">
        <f>ROUND((AK220-AJ220)/(AK213-AJ213),4)</f>
        <v>1.21E-2</v>
      </c>
      <c r="AM220" s="217">
        <f>ROUND(AJ220-AJ213*AL220,2)</f>
        <v>21.3</v>
      </c>
      <c r="AN220" s="211">
        <v>58.9</v>
      </c>
      <c r="AO220" s="212">
        <v>71.2</v>
      </c>
      <c r="AP220" s="203">
        <f>ROUND((AO220-AN220)/(AO213-AN213),4)</f>
        <v>1.23E-2</v>
      </c>
      <c r="AQ220" s="217">
        <f>ROUND(AN220-AN213*AP220,2)</f>
        <v>22</v>
      </c>
      <c r="AR220" s="211">
        <v>62.7</v>
      </c>
      <c r="AS220" s="212">
        <v>75.5</v>
      </c>
      <c r="AT220" s="203">
        <f>ROUND((AS220-AR220)/(AS213-AR213),4)</f>
        <v>1.2800000000000001E-2</v>
      </c>
      <c r="AU220" s="217">
        <f>ROUND(AR220-AR213*AT220,2)</f>
        <v>24.3</v>
      </c>
    </row>
    <row r="221" spans="1:48">
      <c r="A221" t="s">
        <v>254</v>
      </c>
      <c r="B221" s="163" t="e">
        <f>B213*B218+B219</f>
        <v>#REF!</v>
      </c>
      <c r="D221" s="133">
        <v>9</v>
      </c>
      <c r="E221" s="133">
        <v>0</v>
      </c>
      <c r="F221" s="203">
        <f>INDEX($R214:$AU228,$D221,1+VLOOKUP($B214,$B$351:$E$368,4,FALSE))</f>
        <v>9.1999999999999998E-3</v>
      </c>
      <c r="G221" s="203">
        <f>INDEX($R214:$AU228,$D221,2+VLOOKUP($B214,$B$351:$E$368,4,FALSE))</f>
        <v>16.5</v>
      </c>
      <c r="H221" s="203">
        <f>INDEX($R214:$AU228,$D221,5+VLOOKUP($B214,$B$351:$E$368,4,FALSE))</f>
        <v>1.0699999999999999E-2</v>
      </c>
      <c r="I221" s="203">
        <f>INDEX($R214:$AU228,$D221,6+VLOOKUP($B214,$B$351:$E$368,4,FALSE))</f>
        <v>18.899999999999999</v>
      </c>
      <c r="J221" s="203">
        <f>INDEX($R214:$AU228,$D221,9+VLOOKUP($B214,$B$351:$E$368,4,FALSE))</f>
        <v>1.0800000000000001E-2</v>
      </c>
      <c r="K221" s="203">
        <f>INDEX($R214:$AU228,$D221,10+VLOOKUP($B214,$B$351:$E$368,4,FALSE))</f>
        <v>19.899999999999999</v>
      </c>
      <c r="L221" s="203">
        <f>INDEX($R214:$AU228,$D221,13+VLOOKUP($B214,$B$351:$E$368,4,FALSE))</f>
        <v>1.1299999999999999E-2</v>
      </c>
      <c r="M221" s="203">
        <f>INDEX($R214:$AU228,$D221,14+VLOOKUP($B214,$B$351:$E$368,4,FALSE))</f>
        <v>22.2</v>
      </c>
      <c r="O221" s="215">
        <v>-5</v>
      </c>
      <c r="P221" s="211">
        <v>34.9</v>
      </c>
      <c r="Q221" s="212">
        <v>41.4</v>
      </c>
      <c r="R221" s="203">
        <f>ROUND((Q221-P221)/(Q213-P213),4)</f>
        <v>6.4999999999999997E-3</v>
      </c>
      <c r="S221" s="217">
        <f>ROUND(P221-P213*R221,2)</f>
        <v>15.4</v>
      </c>
      <c r="T221" s="211">
        <v>40.299999999999997</v>
      </c>
      <c r="U221" s="212">
        <v>47.9</v>
      </c>
      <c r="V221" s="203">
        <f>ROUND((U221-T221)/(U213-T213),4)</f>
        <v>7.6E-3</v>
      </c>
      <c r="W221" s="217">
        <f>ROUND(T221-T213*V221,2)</f>
        <v>17.5</v>
      </c>
      <c r="X221" s="211">
        <v>40.9</v>
      </c>
      <c r="Y221" s="212">
        <v>48.6</v>
      </c>
      <c r="Z221" s="203">
        <f>ROUND((Y221-X221)/(Y213-X213),4)</f>
        <v>7.7000000000000002E-3</v>
      </c>
      <c r="AA221" s="217">
        <f>ROUND(X221-X213*Z221,2)</f>
        <v>17.8</v>
      </c>
      <c r="AB221" s="211">
        <v>42.9</v>
      </c>
      <c r="AC221" s="212">
        <v>50.7</v>
      </c>
      <c r="AD221" s="203">
        <f>ROUND((AC221-AB221)/(AC213-AB213),4)</f>
        <v>7.7999999999999996E-3</v>
      </c>
      <c r="AE221" s="217">
        <f>ROUND(AB221-AB213*AD221,2)</f>
        <v>19.5</v>
      </c>
      <c r="AF221" s="211">
        <v>47.4</v>
      </c>
      <c r="AG221" s="212">
        <v>57.3</v>
      </c>
      <c r="AH221" s="203">
        <f>ROUND((AG221-AF221)/(AG213-AF213),4)</f>
        <v>9.9000000000000008E-3</v>
      </c>
      <c r="AI221" s="217">
        <f>ROUND(AF221-AF213*AH221,2)</f>
        <v>17.7</v>
      </c>
      <c r="AJ221" s="211">
        <v>54.3</v>
      </c>
      <c r="AK221" s="212">
        <v>65.7</v>
      </c>
      <c r="AL221" s="203">
        <f>ROUND((AK221-AJ221)/(AK213-AJ213),4)</f>
        <v>1.14E-2</v>
      </c>
      <c r="AM221" s="217">
        <f>ROUND(AJ221-AJ213*AL221,2)</f>
        <v>20.100000000000001</v>
      </c>
      <c r="AN221" s="211">
        <v>55.6</v>
      </c>
      <c r="AO221" s="212">
        <v>67.099999999999994</v>
      </c>
      <c r="AP221" s="203">
        <f>ROUND((AO221-AN221)/(AO213-AN213),4)</f>
        <v>1.15E-2</v>
      </c>
      <c r="AQ221" s="217">
        <f>ROUND(AN221-AN213*AP221,2)</f>
        <v>21.1</v>
      </c>
      <c r="AR221" s="211">
        <v>59.4</v>
      </c>
      <c r="AS221" s="212">
        <v>71.5</v>
      </c>
      <c r="AT221" s="203">
        <f>ROUND((AS221-AR221)/(AS213-AR213),4)</f>
        <v>1.21E-2</v>
      </c>
      <c r="AU221" s="217">
        <f>ROUND(AR221-AR213*AT221,2)</f>
        <v>23.1</v>
      </c>
    </row>
    <row r="222" spans="1:48">
      <c r="A222" t="s">
        <v>255</v>
      </c>
      <c r="B222" s="163" t="e">
        <f>ROUND(B221/(0.000335*B213),1)+B216</f>
        <v>#REF!</v>
      </c>
      <c r="D222" s="133">
        <v>10</v>
      </c>
      <c r="E222" s="133">
        <v>5</v>
      </c>
      <c r="F222" s="203">
        <f>INDEX($R214:$AU228,$D222,1+VLOOKUP($B214,$B$351:$E$368,4,FALSE))</f>
        <v>8.3999999999999995E-3</v>
      </c>
      <c r="G222" s="203">
        <f>INDEX($R214:$AU228,$D222,2+VLOOKUP($B214,$B$351:$E$368,4,FALSE))</f>
        <v>15.6</v>
      </c>
      <c r="H222" s="203">
        <f>INDEX($R214:$AU228,$D222,5+VLOOKUP($B214,$B$351:$E$368,4,FALSE))</f>
        <v>9.9000000000000008E-3</v>
      </c>
      <c r="I222" s="203">
        <f>INDEX($R214:$AU228,$D222,6+VLOOKUP($B214,$B$351:$E$368,4,FALSE))</f>
        <v>18</v>
      </c>
      <c r="J222" s="203">
        <f>INDEX($R214:$AU228,$D222,9+VLOOKUP($B214,$B$351:$E$368,4,FALSE))</f>
        <v>1.0200000000000001E-2</v>
      </c>
      <c r="K222" s="203">
        <f>INDEX($R214:$AU228,$D222,10+VLOOKUP($B214,$B$351:$E$368,4,FALSE))</f>
        <v>18.3</v>
      </c>
      <c r="L222" s="203">
        <f>INDEX($R214:$AU228,$D222,13+VLOOKUP($B214,$B$351:$E$368,4,FALSE))</f>
        <v>1.06E-2</v>
      </c>
      <c r="M222" s="203">
        <f>INDEX($R214:$AU228,$D222,14+VLOOKUP($B214,$B$351:$E$368,4,FALSE))</f>
        <v>20.9</v>
      </c>
      <c r="O222" s="215">
        <v>0</v>
      </c>
      <c r="P222" s="211">
        <v>32.4</v>
      </c>
      <c r="Q222" s="212">
        <v>38.4</v>
      </c>
      <c r="R222" s="203">
        <f>ROUND((Q222-P222)/(Q213-P213),4)</f>
        <v>6.0000000000000001E-3</v>
      </c>
      <c r="S222" s="217">
        <f>ROUND(P222-P213*R222,2)</f>
        <v>14.4</v>
      </c>
      <c r="T222" s="211">
        <v>37.799999999999997</v>
      </c>
      <c r="U222" s="212">
        <v>44.8</v>
      </c>
      <c r="V222" s="203">
        <f>ROUND((U222-T222)/(U213-T213),4)</f>
        <v>7.0000000000000001E-3</v>
      </c>
      <c r="W222" s="217">
        <f>ROUND(T222-T213*V222,2)</f>
        <v>16.8</v>
      </c>
      <c r="X222" s="211">
        <v>38.4</v>
      </c>
      <c r="Y222" s="212">
        <v>45.5</v>
      </c>
      <c r="Z222" s="203">
        <f>ROUND((Y222-X222)/(Y213-X213),4)</f>
        <v>7.1000000000000004E-3</v>
      </c>
      <c r="AA222" s="217">
        <f>ROUND(X222-X213*Z222,2)</f>
        <v>17.100000000000001</v>
      </c>
      <c r="AB222" s="211">
        <v>40.299999999999997</v>
      </c>
      <c r="AC222" s="212">
        <v>47.7</v>
      </c>
      <c r="AD222" s="203">
        <f>ROUND((AC222-AB222)/(AC213-AB213),4)</f>
        <v>7.4000000000000003E-3</v>
      </c>
      <c r="AE222" s="217">
        <f>ROUND(AB222-AB213*AD222,2)</f>
        <v>18.100000000000001</v>
      </c>
      <c r="AF222" s="211">
        <v>44.1</v>
      </c>
      <c r="AG222" s="212">
        <v>53.3</v>
      </c>
      <c r="AH222" s="203">
        <f>ROUND((AG222-AF222)/(AG213-AF213),4)</f>
        <v>9.1999999999999998E-3</v>
      </c>
      <c r="AI222" s="217">
        <f>ROUND(AF222-AF213*AH222,2)</f>
        <v>16.5</v>
      </c>
      <c r="AJ222" s="211">
        <v>51</v>
      </c>
      <c r="AK222" s="212">
        <v>61.7</v>
      </c>
      <c r="AL222" s="203">
        <f>ROUND((AK222-AJ222)/(AK213-AJ213),4)</f>
        <v>1.0699999999999999E-2</v>
      </c>
      <c r="AM222" s="217">
        <f>ROUND(AJ222-AJ213*AL222,2)</f>
        <v>18.899999999999999</v>
      </c>
      <c r="AN222" s="211">
        <v>52.3</v>
      </c>
      <c r="AO222" s="212">
        <v>63.1</v>
      </c>
      <c r="AP222" s="203">
        <f>ROUND((AO222-AN222)/(AO213-AN213),4)</f>
        <v>1.0800000000000001E-2</v>
      </c>
      <c r="AQ222" s="217">
        <f>ROUND(AN222-AN213*AP222,2)</f>
        <v>19.899999999999999</v>
      </c>
      <c r="AR222" s="211">
        <v>56.1</v>
      </c>
      <c r="AS222" s="212">
        <v>67.400000000000006</v>
      </c>
      <c r="AT222" s="203">
        <f>ROUND((AS222-AR222)/(AS213-AR213),4)</f>
        <v>1.1299999999999999E-2</v>
      </c>
      <c r="AU222" s="217">
        <f>ROUND(AR222-AR213*AT222,2)</f>
        <v>22.2</v>
      </c>
    </row>
    <row r="223" spans="1:48">
      <c r="D223" s="133">
        <v>11</v>
      </c>
      <c r="E223" s="133">
        <v>10</v>
      </c>
      <c r="F223" s="203">
        <f>INDEX($R214:$AU228,$D223,1+VLOOKUP($B214,$B$351:$E$368,4,FALSE))</f>
        <v>7.7000000000000002E-3</v>
      </c>
      <c r="G223" s="203">
        <f>INDEX($R214:$AU228,$D223,2+VLOOKUP($B214,$B$351:$E$368,4,FALSE))</f>
        <v>14.4</v>
      </c>
      <c r="H223" s="203">
        <f>INDEX($R214:$AU228,$D223,5+VLOOKUP($B214,$B$351:$E$368,4,FALSE))</f>
        <v>9.1999999999999998E-3</v>
      </c>
      <c r="I223" s="203">
        <f>INDEX($R214:$AU228,$D223,6+VLOOKUP($B214,$B$351:$E$368,4,FALSE))</f>
        <v>16.8</v>
      </c>
      <c r="J223" s="203">
        <f>INDEX($R214:$AU228,$D223,9+VLOOKUP($B214,$B$351:$E$368,4,FALSE))</f>
        <v>9.2999999999999992E-3</v>
      </c>
      <c r="K223" s="203">
        <f>INDEX($R214:$AU228,$D223,10+VLOOKUP($B214,$B$351:$E$368,4,FALSE))</f>
        <v>17.8</v>
      </c>
      <c r="L223" s="203">
        <f>INDEX($R214:$AU228,$D223,13+VLOOKUP($B214,$B$351:$E$368,4,FALSE))</f>
        <v>0.01</v>
      </c>
      <c r="M223" s="203">
        <f>INDEX($R214:$AU228,$D223,14+VLOOKUP($B214,$B$351:$E$368,4,FALSE))</f>
        <v>19.3</v>
      </c>
      <c r="O223" s="215">
        <v>5</v>
      </c>
      <c r="P223" s="211">
        <v>29.8</v>
      </c>
      <c r="Q223" s="212">
        <v>35.299999999999997</v>
      </c>
      <c r="R223" s="203">
        <f>ROUND((Q223-P223)/(Q213-P213),4)</f>
        <v>5.4999999999999997E-3</v>
      </c>
      <c r="S223" s="217">
        <f>ROUND(P223-P213*R223,2)</f>
        <v>13.3</v>
      </c>
      <c r="T223" s="211">
        <v>35.200000000000003</v>
      </c>
      <c r="U223" s="212">
        <v>41.8</v>
      </c>
      <c r="V223" s="203">
        <f>ROUND((U223-T223)/(U213-T213),4)</f>
        <v>6.6E-3</v>
      </c>
      <c r="W223" s="217">
        <f>ROUND(T223-T213*V223,2)</f>
        <v>15.4</v>
      </c>
      <c r="X223" s="211">
        <v>35.9</v>
      </c>
      <c r="Y223" s="212">
        <v>42.5</v>
      </c>
      <c r="Z223" s="203">
        <f>ROUND((Y223-X223)/(Y213-X213),4)</f>
        <v>6.6E-3</v>
      </c>
      <c r="AA223" s="217">
        <f>ROUND(X223-X213*Z223,2)</f>
        <v>16.100000000000001</v>
      </c>
      <c r="AB223" s="211">
        <v>37.799999999999997</v>
      </c>
      <c r="AC223" s="212">
        <v>44.6</v>
      </c>
      <c r="AD223" s="203">
        <f>ROUND((AC223-AB223)/(AC213-AB213),4)</f>
        <v>6.7999999999999996E-3</v>
      </c>
      <c r="AE223" s="217">
        <f>ROUND(AB223-AB213*AD223,2)</f>
        <v>17.399999999999999</v>
      </c>
      <c r="AF223" s="211">
        <v>40.799999999999997</v>
      </c>
      <c r="AG223" s="212">
        <v>49.2</v>
      </c>
      <c r="AH223" s="203">
        <f>ROUND((AG223-AF223)/(AG213-AF213),4)</f>
        <v>8.3999999999999995E-3</v>
      </c>
      <c r="AI223" s="217">
        <f>ROUND(AF223-AF213*AH223,2)</f>
        <v>15.6</v>
      </c>
      <c r="AJ223" s="211">
        <v>47.7</v>
      </c>
      <c r="AK223" s="212">
        <v>57.6</v>
      </c>
      <c r="AL223" s="203">
        <f>ROUND((AK223-AJ223)/(AK213-AJ213),4)</f>
        <v>9.9000000000000008E-3</v>
      </c>
      <c r="AM223" s="217">
        <f>ROUND(AJ223-AJ213*AL223,2)</f>
        <v>18</v>
      </c>
      <c r="AN223" s="211">
        <v>48.9</v>
      </c>
      <c r="AO223" s="212">
        <v>59.1</v>
      </c>
      <c r="AP223" s="203">
        <f>ROUND((AO223-AN223)/(AO213-AN213),4)</f>
        <v>1.0200000000000001E-2</v>
      </c>
      <c r="AQ223" s="217">
        <f>ROUND(AN223-AN213*AP223,2)</f>
        <v>18.3</v>
      </c>
      <c r="AR223" s="211">
        <v>52.7</v>
      </c>
      <c r="AS223" s="212">
        <v>63.3</v>
      </c>
      <c r="AT223" s="203">
        <f>ROUND((AS223-AR223)/(AS213-AR213),4)</f>
        <v>1.06E-2</v>
      </c>
      <c r="AU223" s="217">
        <f>ROUND(AR223-AR213*AT223,2)</f>
        <v>20.9</v>
      </c>
    </row>
    <row r="224" spans="1:48">
      <c r="A224" t="s">
        <v>256</v>
      </c>
      <c r="B224" s="163" t="e">
        <f>ROUND(B221/(4183*VLOOKUP(B215,B$345:E$348,4,FALSE))*3600,2)</f>
        <v>#REF!</v>
      </c>
      <c r="D224" s="133">
        <v>12</v>
      </c>
      <c r="E224" s="133">
        <v>15</v>
      </c>
      <c r="F224" s="203">
        <f>INDEX($R214:$AU228,$D224,1+VLOOKUP($B214,$B$351:$E$368,4,FALSE))</f>
        <v>7.0000000000000001E-3</v>
      </c>
      <c r="G224" s="203">
        <f>INDEX($R214:$AU228,$D224,2+VLOOKUP($B214,$B$351:$E$368,4,FALSE))</f>
        <v>13.2</v>
      </c>
      <c r="H224" s="203">
        <f>INDEX($R214:$AU228,$D224,5+VLOOKUP($B214,$B$351:$E$368,4,FALSE))</f>
        <v>8.5000000000000006E-3</v>
      </c>
      <c r="I224" s="203">
        <f>INDEX($R214:$AU228,$D224,6+VLOOKUP($B214,$B$351:$E$368,4,FALSE))</f>
        <v>15.6</v>
      </c>
      <c r="J224" s="203">
        <f>INDEX($R214:$AU228,$D224,9+VLOOKUP($B214,$B$351:$E$368,4,FALSE))</f>
        <v>8.6999999999999994E-3</v>
      </c>
      <c r="K224" s="203">
        <f>INDEX($R214:$AU228,$D224,10+VLOOKUP($B214,$B$351:$E$368,4,FALSE))</f>
        <v>16.2</v>
      </c>
      <c r="L224" s="203">
        <f>INDEX($R214:$AU228,$D224,13+VLOOKUP($B214,$B$351:$E$368,4,FALSE))</f>
        <v>9.1000000000000004E-3</v>
      </c>
      <c r="M224" s="203">
        <f>INDEX($R214:$AU228,$D224,14+VLOOKUP($B214,$B$351:$E$368,4,FALSE))</f>
        <v>18.7</v>
      </c>
      <c r="O224" s="215">
        <v>10</v>
      </c>
      <c r="P224" s="211">
        <v>27.3</v>
      </c>
      <c r="Q224" s="212">
        <v>32.299999999999997</v>
      </c>
      <c r="R224" s="203">
        <f>ROUND((Q224-P224)/(Q213-P213),4)</f>
        <v>5.0000000000000001E-3</v>
      </c>
      <c r="S224" s="217">
        <f>ROUND(P224-P213*R224,2)</f>
        <v>12.3</v>
      </c>
      <c r="T224" s="211">
        <v>32.700000000000003</v>
      </c>
      <c r="U224" s="212">
        <v>38.799999999999997</v>
      </c>
      <c r="V224" s="203">
        <f>ROUND((U224-T224)/(U213-T213),4)</f>
        <v>6.1000000000000004E-3</v>
      </c>
      <c r="W224" s="217">
        <f>ROUND(T224-T213*V224,2)</f>
        <v>14.4</v>
      </c>
      <c r="X224" s="211">
        <v>33.299999999999997</v>
      </c>
      <c r="Y224" s="212">
        <v>39.4</v>
      </c>
      <c r="Z224" s="203">
        <f>ROUND((Y224-X224)/(Y213-X213),4)</f>
        <v>6.1000000000000004E-3</v>
      </c>
      <c r="AA224" s="217">
        <f>ROUND(X224-X213*Z224,2)</f>
        <v>15</v>
      </c>
      <c r="AB224" s="211">
        <v>35.299999999999997</v>
      </c>
      <c r="AC224" s="212">
        <v>41.6</v>
      </c>
      <c r="AD224" s="203">
        <f>ROUND((AC224-AB224)/(AC213-AB213),4)</f>
        <v>6.3E-3</v>
      </c>
      <c r="AE224" s="217">
        <f>ROUND(AB224-AB213*AD224,2)</f>
        <v>16.399999999999999</v>
      </c>
      <c r="AF224" s="211">
        <v>37.5</v>
      </c>
      <c r="AG224" s="212">
        <v>45.2</v>
      </c>
      <c r="AH224" s="203">
        <f>ROUND((AG224-AF224)/(AG213-AF213),4)</f>
        <v>7.7000000000000002E-3</v>
      </c>
      <c r="AI224" s="217">
        <f>ROUND(AF224-AF213*AH224,2)</f>
        <v>14.4</v>
      </c>
      <c r="AJ224" s="211">
        <v>44.4</v>
      </c>
      <c r="AK224" s="212">
        <v>53.6</v>
      </c>
      <c r="AL224" s="203">
        <f>ROUND((AK224-AJ224)/(AK213-AJ213),4)</f>
        <v>9.1999999999999998E-3</v>
      </c>
      <c r="AM224" s="217">
        <f>ROUND(AJ224-AJ213*AL224,2)</f>
        <v>16.8</v>
      </c>
      <c r="AN224" s="211">
        <v>45.7</v>
      </c>
      <c r="AO224" s="212">
        <v>55</v>
      </c>
      <c r="AP224" s="203">
        <f>ROUND((AO224-AN224)/(AO213-AN213),4)</f>
        <v>9.2999999999999992E-3</v>
      </c>
      <c r="AQ224" s="217">
        <f>ROUND(AN224-AN213*AP224,2)</f>
        <v>17.8</v>
      </c>
      <c r="AR224" s="211">
        <v>49.3</v>
      </c>
      <c r="AS224" s="212">
        <v>59.3</v>
      </c>
      <c r="AT224" s="203">
        <f>ROUND((AS224-AR224)/(AS213-AR213),4)</f>
        <v>0.01</v>
      </c>
      <c r="AU224" s="217">
        <f>ROUND(AR224-AR213*AT224,2)</f>
        <v>19.3</v>
      </c>
    </row>
    <row r="225" spans="1:47">
      <c r="A225" t="s">
        <v>257</v>
      </c>
      <c r="B225" s="163" t="e">
        <f>ROUND(100*POWER(B224/VLOOKUP(B214,B$351:C$368,2,FALSE),2),1)</f>
        <v>#REF!</v>
      </c>
      <c r="D225" s="133">
        <v>13</v>
      </c>
      <c r="E225" s="133">
        <v>20</v>
      </c>
      <c r="F225" s="203">
        <f>INDEX($R214:$AU228,$D225,1+VLOOKUP($B214,$B$351:$E$368,4,FALSE))</f>
        <v>6.3E-3</v>
      </c>
      <c r="G225" s="203">
        <f>INDEX($R214:$AU228,$D225,2+VLOOKUP($B214,$B$351:$E$368,4,FALSE))</f>
        <v>12</v>
      </c>
      <c r="H225" s="203">
        <f>INDEX($R214:$AU228,$D225,5+VLOOKUP($B214,$B$351:$E$368,4,FALSE))</f>
        <v>7.7999999999999996E-3</v>
      </c>
      <c r="I225" s="203">
        <f>INDEX($R214:$AU228,$D225,6+VLOOKUP($B214,$B$351:$E$368,4,FALSE))</f>
        <v>14.4</v>
      </c>
      <c r="J225" s="203">
        <f>INDEX($R214:$AU228,$D225,9+VLOOKUP($B214,$B$351:$E$368,4,FALSE))</f>
        <v>7.9000000000000008E-3</v>
      </c>
      <c r="K225" s="203">
        <f>INDEX($R214:$AU228,$D225,10+VLOOKUP($B214,$B$351:$E$368,4,FALSE))</f>
        <v>15.33</v>
      </c>
      <c r="L225" s="203">
        <f>INDEX($R214:$AU228,$D225,13+VLOOKUP($B214,$B$351:$E$368,4,FALSE))</f>
        <v>8.5000000000000006E-3</v>
      </c>
      <c r="M225" s="203">
        <f>INDEX($R214:$AU228,$D225,14+VLOOKUP($B214,$B$351:$E$368,4,FALSE))</f>
        <v>17.170000000000002</v>
      </c>
      <c r="O225" s="215">
        <v>15</v>
      </c>
      <c r="P225" s="211">
        <v>24.7</v>
      </c>
      <c r="Q225" s="212">
        <v>29.3</v>
      </c>
      <c r="R225" s="203">
        <f>ROUND((Q225-P225)/(Q213-P213),4)</f>
        <v>4.5999999999999999E-3</v>
      </c>
      <c r="S225" s="217">
        <f>ROUND(P225-P213*R225,2)</f>
        <v>10.9</v>
      </c>
      <c r="T225" s="211">
        <v>30.1</v>
      </c>
      <c r="U225" s="212">
        <v>35.700000000000003</v>
      </c>
      <c r="V225" s="203">
        <f>ROUND((U225-T225)/(U213-T213),4)</f>
        <v>5.5999999999999999E-3</v>
      </c>
      <c r="W225" s="217">
        <f>ROUND(T225-T213*V225,2)</f>
        <v>13.3</v>
      </c>
      <c r="X225" s="211">
        <v>30.8</v>
      </c>
      <c r="Y225" s="212">
        <v>36.4</v>
      </c>
      <c r="Z225" s="203">
        <f>ROUND((Y225-X225)/(Y213-X213),4)</f>
        <v>5.5999999999999999E-3</v>
      </c>
      <c r="AA225" s="217">
        <f>ROUND(X225-X213*Z225,2)</f>
        <v>14</v>
      </c>
      <c r="AB225" s="211">
        <v>32.6</v>
      </c>
      <c r="AC225" s="212">
        <v>38.5</v>
      </c>
      <c r="AD225" s="203">
        <f>ROUND((AC225-AB225)/(AC213-AB213),4)</f>
        <v>5.8999999999999999E-3</v>
      </c>
      <c r="AE225" s="217">
        <f>ROUND(AB225-AB213*AD225,2)</f>
        <v>14.9</v>
      </c>
      <c r="AF225" s="211">
        <v>34.200000000000003</v>
      </c>
      <c r="AG225" s="212">
        <v>41.2</v>
      </c>
      <c r="AH225" s="203">
        <f>ROUND((AG225-AF225)/(AG213-AF213),4)</f>
        <v>7.0000000000000001E-3</v>
      </c>
      <c r="AI225" s="217">
        <f>ROUND(AF225-AF213*AH225,2)</f>
        <v>13.2</v>
      </c>
      <c r="AJ225" s="211">
        <v>41.1</v>
      </c>
      <c r="AK225" s="212">
        <v>49.6</v>
      </c>
      <c r="AL225" s="203">
        <f>ROUND((AK225-AJ225)/(AK213-AJ213),4)</f>
        <v>8.5000000000000006E-3</v>
      </c>
      <c r="AM225" s="217">
        <f>ROUND(AJ225-AJ213*AL225,2)</f>
        <v>15.6</v>
      </c>
      <c r="AN225" s="211">
        <v>42.3</v>
      </c>
      <c r="AO225" s="212">
        <v>51</v>
      </c>
      <c r="AP225" s="203">
        <f>ROUND((AO225-AN225)/(AO213-AN213),4)</f>
        <v>8.6999999999999994E-3</v>
      </c>
      <c r="AQ225" s="217">
        <f>ROUND(AN225-AN213*AP225,2)</f>
        <v>16.2</v>
      </c>
      <c r="AR225" s="211">
        <v>46</v>
      </c>
      <c r="AS225" s="212">
        <v>55.1</v>
      </c>
      <c r="AT225" s="203">
        <f>ROUND((AS225-AR225)/(AS213-AR213),4)</f>
        <v>9.1000000000000004E-3</v>
      </c>
      <c r="AU225" s="217">
        <f>ROUND(AR225-AR213*AT225,2)</f>
        <v>18.7</v>
      </c>
    </row>
    <row r="226" spans="1:47">
      <c r="D226" s="133">
        <v>14</v>
      </c>
      <c r="E226" s="133">
        <v>25</v>
      </c>
      <c r="F226" s="203">
        <f>INDEX($R214:$AU228,$D226,1+VLOOKUP($B214,$B$351:$E$368,4,FALSE))</f>
        <v>5.5999999999999999E-3</v>
      </c>
      <c r="G226" s="203">
        <f>INDEX($R214:$AU228,$D226,2+VLOOKUP($B214,$B$351:$E$368,4,FALSE))</f>
        <v>10.8</v>
      </c>
      <c r="H226" s="203">
        <f>INDEX($R214:$AU228,$D226,5+VLOOKUP($B214,$B$351:$E$368,4,FALSE))</f>
        <v>7.0000000000000001E-3</v>
      </c>
      <c r="I226" s="203">
        <f>INDEX($R214:$AU228,$D226,6+VLOOKUP($B214,$B$351:$E$368,4,FALSE))</f>
        <v>13.5</v>
      </c>
      <c r="J226" s="203">
        <f>INDEX($R214:$AU228,$D226,9+VLOOKUP($B214,$B$351:$E$368,4,FALSE))</f>
        <v>7.1999999999999998E-3</v>
      </c>
      <c r="K226" s="203">
        <f>INDEX($R214:$AU228,$D226,10+VLOOKUP($B214,$B$351:$E$368,4,FALSE))</f>
        <v>14.12</v>
      </c>
      <c r="L226" s="203">
        <f>INDEX($R214:$AU228,$D226,13+VLOOKUP($B214,$B$351:$E$368,4,FALSE))</f>
        <v>7.7000000000000002E-3</v>
      </c>
      <c r="M226" s="203">
        <f>INDEX($R214:$AU228,$D226,14+VLOOKUP($B214,$B$351:$E$368,4,FALSE))</f>
        <v>16.22</v>
      </c>
      <c r="O226" s="215">
        <v>20</v>
      </c>
      <c r="P226" s="211">
        <v>22.2</v>
      </c>
      <c r="Q226" s="212">
        <v>26.226666666666599</v>
      </c>
      <c r="R226" s="203">
        <f>ROUND((Q226-P226)/(Q213-P213),4)</f>
        <v>4.0000000000000001E-3</v>
      </c>
      <c r="S226" s="217">
        <f>ROUND(P226-P213*R226,2)</f>
        <v>10.199999999999999</v>
      </c>
      <c r="T226" s="211">
        <v>27.593333333333401</v>
      </c>
      <c r="U226" s="212">
        <v>32.68</v>
      </c>
      <c r="V226" s="203">
        <f>ROUND((U226-T226)/(U213-T213),4)</f>
        <v>5.1000000000000004E-3</v>
      </c>
      <c r="W226" s="217">
        <f>ROUND(T226-T213*V226,2)</f>
        <v>12.29</v>
      </c>
      <c r="X226" s="211">
        <v>28.233333333333398</v>
      </c>
      <c r="Y226" s="212">
        <v>33.3466666666667</v>
      </c>
      <c r="Z226" s="203">
        <f>ROUND((Y226-X226)/(Y213-X213),4)</f>
        <v>5.1000000000000004E-3</v>
      </c>
      <c r="AA226" s="217">
        <f>ROUND(X226-X213*Z226,2)</f>
        <v>12.93</v>
      </c>
      <c r="AB226" s="211">
        <v>30.106666666666701</v>
      </c>
      <c r="AC226" s="212">
        <v>35.453333333333298</v>
      </c>
      <c r="AD226" s="203">
        <f>ROUND((AC226-AB226)/(AC213-AB213),4)</f>
        <v>5.3E-3</v>
      </c>
      <c r="AE226" s="217">
        <f>ROUND(AB226-AB213*AD226,2)</f>
        <v>14.21</v>
      </c>
      <c r="AF226" s="211">
        <v>30.9</v>
      </c>
      <c r="AG226" s="212">
        <v>37.18</v>
      </c>
      <c r="AH226" s="203">
        <f>ROUND((AG226-AF226)/(AG213-AF213),4)</f>
        <v>6.3E-3</v>
      </c>
      <c r="AI226" s="217">
        <f>ROUND(AF226-AF213*AH226,2)</f>
        <v>12</v>
      </c>
      <c r="AJ226" s="211">
        <v>37.799999999999997</v>
      </c>
      <c r="AK226" s="212">
        <v>45.566666666666698</v>
      </c>
      <c r="AL226" s="203">
        <f>ROUND((AK226-AJ226)/(AK213-AJ213),4)</f>
        <v>7.7999999999999996E-3</v>
      </c>
      <c r="AM226" s="217">
        <f>ROUND(AJ226-AJ213*AL226,2)</f>
        <v>14.4</v>
      </c>
      <c r="AN226" s="211">
        <v>39.033333333333303</v>
      </c>
      <c r="AO226" s="212">
        <v>46.973333333333301</v>
      </c>
      <c r="AP226" s="203">
        <f>ROUND((AO226-AN226)/(AO213-AN213),4)</f>
        <v>7.9000000000000008E-3</v>
      </c>
      <c r="AQ226" s="217">
        <f>ROUND(AN226-AN213*AP226,2)</f>
        <v>15.33</v>
      </c>
      <c r="AR226" s="211">
        <v>42.6666666666667</v>
      </c>
      <c r="AS226" s="212">
        <v>51.126666666666701</v>
      </c>
      <c r="AT226" s="203">
        <f>ROUND((AS226-AR226)/(AS213-AR213),4)</f>
        <v>8.5000000000000006E-3</v>
      </c>
      <c r="AU226" s="217">
        <f>ROUND(AR226-AR213*AT226,2)</f>
        <v>17.170000000000002</v>
      </c>
    </row>
    <row r="227" spans="1:47">
      <c r="D227" s="133">
        <v>15</v>
      </c>
      <c r="E227" s="133">
        <v>30</v>
      </c>
      <c r="F227" s="203">
        <f>INDEX($R214:$AU228,$D227,1+VLOOKUP($B214,$B$351:$E$368,4,FALSE))</f>
        <v>4.7999999999999996E-3</v>
      </c>
      <c r="G227" s="203">
        <f>INDEX($R214:$AU228,$D227,2+VLOOKUP($B214,$B$351:$E$368,4,FALSE))</f>
        <v>9.9</v>
      </c>
      <c r="H227" s="203">
        <f>INDEX($R214:$AU228,$D227,5+VLOOKUP($B214,$B$351:$E$368,4,FALSE))</f>
        <v>6.3E-3</v>
      </c>
      <c r="I227" s="203">
        <f>INDEX($R214:$AU228,$D227,6+VLOOKUP($B214,$B$351:$E$368,4,FALSE))</f>
        <v>12.3</v>
      </c>
      <c r="J227" s="203">
        <f>INDEX($R214:$AU228,$D227,9+VLOOKUP($B214,$B$351:$E$368,4,FALSE))</f>
        <v>6.4999999999999997E-3</v>
      </c>
      <c r="K227" s="203">
        <f>INDEX($R214:$AU228,$D227,10+VLOOKUP($B214,$B$351:$E$368,4,FALSE))</f>
        <v>12.92</v>
      </c>
      <c r="L227" s="203">
        <f>INDEX($R214:$AU228,$D227,13+VLOOKUP($B214,$B$351:$E$368,4,FALSE))</f>
        <v>7.0000000000000001E-3</v>
      </c>
      <c r="M227" s="203">
        <f>INDEX($R214:$AU228,$D227,14+VLOOKUP($B214,$B$351:$E$368,4,FALSE))</f>
        <v>14.98</v>
      </c>
      <c r="O227" s="215">
        <v>25</v>
      </c>
      <c r="P227" s="211">
        <v>19.661818181818202</v>
      </c>
      <c r="Q227" s="212">
        <v>23.1896969696969</v>
      </c>
      <c r="R227" s="203">
        <f>ROUND((Q227-P227)/(Q213-P213),4)</f>
        <v>3.5000000000000001E-3</v>
      </c>
      <c r="S227" s="217">
        <f>ROUND(P227-P213*R227,2)</f>
        <v>9.16</v>
      </c>
      <c r="T227" s="211">
        <v>25.050303030303098</v>
      </c>
      <c r="U227" s="212">
        <v>29.64</v>
      </c>
      <c r="V227" s="203">
        <f>ROUND((U227-T227)/(U213-T213),4)</f>
        <v>4.5999999999999999E-3</v>
      </c>
      <c r="W227" s="217">
        <f>ROUND(T227-T213*V227,2)</f>
        <v>11.25</v>
      </c>
      <c r="X227" s="211">
        <v>25.690303030303099</v>
      </c>
      <c r="Y227" s="212">
        <v>30.302424242424198</v>
      </c>
      <c r="Z227" s="203">
        <f>ROUND((Y227-X227)/(Y213-X213),4)</f>
        <v>4.5999999999999999E-3</v>
      </c>
      <c r="AA227" s="217">
        <f>ROUND(X227-X213*Z227,2)</f>
        <v>11.89</v>
      </c>
      <c r="AB227" s="211">
        <v>27.547878787878801</v>
      </c>
      <c r="AC227" s="212">
        <v>32.397575757575801</v>
      </c>
      <c r="AD227" s="203">
        <f>ROUND((AC227-AB227)/(AC213-AB213),4)</f>
        <v>4.7999999999999996E-3</v>
      </c>
      <c r="AE227" s="217">
        <f>ROUND(AB227-AB213*AD227,2)</f>
        <v>13.15</v>
      </c>
      <c r="AF227" s="211">
        <v>27.6</v>
      </c>
      <c r="AG227" s="212">
        <v>33.161818181818198</v>
      </c>
      <c r="AH227" s="203">
        <f>ROUND((AG227-AF227)/(AG213-AF213),4)</f>
        <v>5.5999999999999999E-3</v>
      </c>
      <c r="AI227" s="217">
        <f>ROUND(AF227-AF213*AH227,2)</f>
        <v>10.8</v>
      </c>
      <c r="AJ227" s="211">
        <v>34.5</v>
      </c>
      <c r="AK227" s="212">
        <v>41.544242424242398</v>
      </c>
      <c r="AL227" s="203">
        <f>ROUND((AK227-AJ227)/(AK213-AJ213),4)</f>
        <v>7.0000000000000001E-3</v>
      </c>
      <c r="AM227" s="217">
        <f>ROUND(AJ227-AJ213*AL227,2)</f>
        <v>13.5</v>
      </c>
      <c r="AN227" s="211">
        <v>35.724848484848501</v>
      </c>
      <c r="AO227" s="212">
        <v>42.944848484848499</v>
      </c>
      <c r="AP227" s="203">
        <f>ROUND((AO227-AN227)/(AO213-AN213),4)</f>
        <v>7.1999999999999998E-3</v>
      </c>
      <c r="AQ227" s="217">
        <f>ROUND(AN227-AN213*AP227,2)</f>
        <v>14.12</v>
      </c>
      <c r="AR227" s="211">
        <v>39.324242424242399</v>
      </c>
      <c r="AS227" s="212">
        <v>47.064242424242401</v>
      </c>
      <c r="AT227" s="203">
        <f>ROUND((AS227-AR227)/(AS213-AR213),4)</f>
        <v>7.7000000000000002E-3</v>
      </c>
      <c r="AU227" s="217">
        <f>ROUND(AR227-AR213*AT227,2)</f>
        <v>16.22</v>
      </c>
    </row>
    <row r="228" spans="1:47" ht="15" thickBot="1">
      <c r="O228" s="216">
        <v>30</v>
      </c>
      <c r="P228" s="226">
        <v>17.1236363636364</v>
      </c>
      <c r="Q228" s="227">
        <v>20.152727272727201</v>
      </c>
      <c r="R228" s="228">
        <f>ROUND((Q228-P228)/(Q213-P213),4)</f>
        <v>3.0000000000000001E-3</v>
      </c>
      <c r="S228" s="229">
        <f>ROUND(P228-P213*R228,2)</f>
        <v>8.1199999999999992</v>
      </c>
      <c r="T228" s="226">
        <v>22.507272727272799</v>
      </c>
      <c r="U228" s="227">
        <v>26.6</v>
      </c>
      <c r="V228" s="228">
        <f>ROUND((U228-T228)/(U213-T213),4)</f>
        <v>4.1000000000000003E-3</v>
      </c>
      <c r="W228" s="229">
        <f>ROUND(T228-T213*V228,2)</f>
        <v>10.210000000000001</v>
      </c>
      <c r="X228" s="226">
        <v>23.147272727272799</v>
      </c>
      <c r="Y228" s="227">
        <v>27.2581818181818</v>
      </c>
      <c r="Z228" s="228">
        <f>ROUND((Y228-X228)/(Y213-X213),4)</f>
        <v>4.1000000000000003E-3</v>
      </c>
      <c r="AA228" s="229">
        <f>ROUND(X228-X213*Z228,2)</f>
        <v>10.85</v>
      </c>
      <c r="AB228" s="226">
        <v>24.989090909091001</v>
      </c>
      <c r="AC228" s="227">
        <v>29.341818181818201</v>
      </c>
      <c r="AD228" s="228">
        <f>ROUND((AC228-AB228)/(AC213-AB213),4)</f>
        <v>4.4000000000000003E-3</v>
      </c>
      <c r="AE228" s="229">
        <f>ROUND(AB228-AB213*AD228,2)</f>
        <v>11.79</v>
      </c>
      <c r="AF228" s="226">
        <v>24.3</v>
      </c>
      <c r="AG228" s="227">
        <v>29.1436363636364</v>
      </c>
      <c r="AH228" s="228">
        <f>ROUND((AG228-AF228)/(AG213-AF213),4)</f>
        <v>4.7999999999999996E-3</v>
      </c>
      <c r="AI228" s="229">
        <f>ROUND(AF228-AF213*AH228,2)</f>
        <v>9.9</v>
      </c>
      <c r="AJ228" s="226">
        <v>31.2</v>
      </c>
      <c r="AK228" s="227">
        <v>37.521818181818198</v>
      </c>
      <c r="AL228" s="228">
        <f>ROUND((AK228-AJ228)/(AK213-AJ213),4)</f>
        <v>6.3E-3</v>
      </c>
      <c r="AM228" s="229">
        <f>ROUND(AJ228-AJ213*AL228,2)</f>
        <v>12.3</v>
      </c>
      <c r="AN228" s="226">
        <v>32.416363636363599</v>
      </c>
      <c r="AO228" s="227">
        <v>38.916363636363599</v>
      </c>
      <c r="AP228" s="228">
        <f>ROUND((AO228-AN228)/(AO213-AN213),4)</f>
        <v>6.4999999999999997E-3</v>
      </c>
      <c r="AQ228" s="229">
        <f>ROUND(AN228-AN213*AP228,2)</f>
        <v>12.92</v>
      </c>
      <c r="AR228" s="226">
        <v>35.981818181818198</v>
      </c>
      <c r="AS228" s="227">
        <v>43.001818181818201</v>
      </c>
      <c r="AT228" s="228">
        <f>ROUND((AS228-AR228)/(AS213-AR213),4)</f>
        <v>7.0000000000000001E-3</v>
      </c>
      <c r="AU228" s="229">
        <f>ROUND(AR228-AR213*AT228,2)</f>
        <v>14.98</v>
      </c>
    </row>
    <row r="229" spans="1:47" ht="15" thickBot="1">
      <c r="O229" s="224"/>
      <c r="P229" s="225"/>
      <c r="Q229" s="225"/>
      <c r="R229" s="225"/>
      <c r="S229" s="225"/>
      <c r="T229" s="225"/>
      <c r="U229" s="225"/>
      <c r="V229" s="225"/>
      <c r="W229" s="225"/>
      <c r="X229" s="225"/>
      <c r="Y229" s="225"/>
      <c r="Z229" s="225"/>
      <c r="AA229" s="225"/>
      <c r="AB229" s="225"/>
      <c r="AC229" s="225"/>
      <c r="AD229" s="225"/>
      <c r="AE229" s="225"/>
      <c r="AF229" s="225"/>
      <c r="AG229" s="225"/>
      <c r="AH229" s="225"/>
      <c r="AI229" s="225"/>
      <c r="AJ229" s="225"/>
      <c r="AK229" s="225"/>
      <c r="AL229" s="225"/>
      <c r="AM229" s="225"/>
      <c r="AN229" s="225"/>
      <c r="AO229" s="225"/>
      <c r="AP229" s="225"/>
      <c r="AQ229" s="225"/>
      <c r="AR229" s="225"/>
      <c r="AS229" s="225"/>
      <c r="AT229" s="225"/>
      <c r="AU229" s="225"/>
    </row>
    <row r="230" spans="1:47" ht="15" thickBot="1">
      <c r="E230" s="163"/>
      <c r="F230" s="596" t="s">
        <v>244</v>
      </c>
      <c r="G230" s="597"/>
      <c r="H230" s="597" t="s">
        <v>245</v>
      </c>
      <c r="I230" s="597"/>
      <c r="J230" s="597" t="s">
        <v>246</v>
      </c>
      <c r="K230" s="597"/>
      <c r="L230" s="597" t="s">
        <v>247</v>
      </c>
      <c r="M230" s="598"/>
      <c r="O230" s="204" t="s">
        <v>258</v>
      </c>
      <c r="P230" s="590" t="s">
        <v>294</v>
      </c>
      <c r="Q230" s="591"/>
      <c r="R230" s="591"/>
      <c r="S230" s="591"/>
      <c r="T230" s="591"/>
      <c r="U230" s="591"/>
      <c r="V230" s="591"/>
      <c r="W230" s="591"/>
      <c r="X230" s="591"/>
      <c r="Y230" s="591"/>
      <c r="Z230" s="591"/>
      <c r="AA230" s="591"/>
      <c r="AB230" s="591"/>
      <c r="AC230" s="591"/>
      <c r="AD230" s="591"/>
      <c r="AE230" s="592"/>
      <c r="AF230" s="590" t="s">
        <v>295</v>
      </c>
      <c r="AG230" s="591"/>
      <c r="AH230" s="591"/>
      <c r="AI230" s="591"/>
      <c r="AJ230" s="591"/>
      <c r="AK230" s="591"/>
      <c r="AL230" s="591"/>
      <c r="AM230" s="591"/>
      <c r="AN230" s="591"/>
      <c r="AO230" s="591"/>
      <c r="AP230" s="591"/>
      <c r="AQ230" s="591"/>
      <c r="AR230" s="591"/>
      <c r="AS230" s="591"/>
      <c r="AT230" s="591"/>
      <c r="AU230" s="592"/>
    </row>
    <row r="231" spans="1:47" ht="15" thickBot="1">
      <c r="E231" s="163"/>
      <c r="F231" s="221" t="s">
        <v>66</v>
      </c>
      <c r="G231" s="222" t="s">
        <v>249</v>
      </c>
      <c r="H231" s="222" t="s">
        <v>66</v>
      </c>
      <c r="I231" s="222" t="s">
        <v>249</v>
      </c>
      <c r="J231" s="222" t="s">
        <v>66</v>
      </c>
      <c r="K231" s="222" t="s">
        <v>249</v>
      </c>
      <c r="L231" s="222" t="s">
        <v>66</v>
      </c>
      <c r="M231" s="223" t="s">
        <v>249</v>
      </c>
      <c r="O231" s="205" t="s">
        <v>251</v>
      </c>
      <c r="P231" s="593" t="s">
        <v>276</v>
      </c>
      <c r="Q231" s="594"/>
      <c r="R231" s="594"/>
      <c r="S231" s="595"/>
      <c r="T231" s="593" t="s">
        <v>277</v>
      </c>
      <c r="U231" s="594"/>
      <c r="V231" s="594"/>
      <c r="W231" s="595"/>
      <c r="X231" s="593" t="s">
        <v>278</v>
      </c>
      <c r="Y231" s="594"/>
      <c r="Z231" s="594"/>
      <c r="AA231" s="595"/>
      <c r="AB231" s="593" t="s">
        <v>279</v>
      </c>
      <c r="AC231" s="594"/>
      <c r="AD231" s="594"/>
      <c r="AE231" s="595"/>
      <c r="AF231" s="593" t="s">
        <v>276</v>
      </c>
      <c r="AG231" s="594"/>
      <c r="AH231" s="594"/>
      <c r="AI231" s="595"/>
      <c r="AJ231" s="593" t="s">
        <v>277</v>
      </c>
      <c r="AK231" s="594"/>
      <c r="AL231" s="594"/>
      <c r="AM231" s="595"/>
      <c r="AN231" s="593" t="s">
        <v>278</v>
      </c>
      <c r="AO231" s="594"/>
      <c r="AP231" s="594"/>
      <c r="AQ231" s="595"/>
      <c r="AR231" s="593" t="s">
        <v>279</v>
      </c>
      <c r="AS231" s="594"/>
      <c r="AT231" s="594"/>
      <c r="AU231" s="595"/>
    </row>
    <row r="232" spans="1:47" ht="15" thickBot="1">
      <c r="A232" t="s">
        <v>248</v>
      </c>
      <c r="B232" s="163" t="e">
        <f>Задача_Расход</f>
        <v>#REF!</v>
      </c>
      <c r="D232" s="133">
        <v>1</v>
      </c>
      <c r="E232" s="133">
        <v>-40</v>
      </c>
      <c r="F232" s="220">
        <f>INDEX($R233:$AU247,$D232,1+VLOOKUP($B233,$B$351:$E$368,4,FALSE))</f>
        <v>1.01E-2</v>
      </c>
      <c r="G232" s="220">
        <f>INDEX($R233:$AU247,$D232,2+VLOOKUP($B233,$B$351:$E$368,4,FALSE))</f>
        <v>32.700000000000003</v>
      </c>
      <c r="H232" s="220">
        <f>INDEX($R233:$AU247,$D232,5+VLOOKUP($B233,$B$351:$E$368,4,FALSE))</f>
        <v>1.12E-2</v>
      </c>
      <c r="I232" s="220">
        <f>INDEX($R233:$AU247,$D232,6+VLOOKUP($B233,$B$351:$E$368,4,FALSE))</f>
        <v>35.700000000000003</v>
      </c>
      <c r="J232" s="220">
        <f>INDEX($R233:$AU247,$D232,9+VLOOKUP($B233,$B$351:$E$368,4,FALSE))</f>
        <v>1.12E-2</v>
      </c>
      <c r="K232" s="220">
        <f>INDEX($R233:$AU247,$D232,10+VLOOKUP($B233,$B$351:$E$368,4,FALSE))</f>
        <v>36.75</v>
      </c>
      <c r="L232" s="220">
        <f>INDEX($R233:$AU247,$D232,13+VLOOKUP($B233,$B$351:$E$368,4,FALSE))</f>
        <v>1.15E-2</v>
      </c>
      <c r="M232" s="220">
        <f>INDEX($R233:$AU247,$D232,14+VLOOKUP($B233,$B$351:$E$368,4,FALSE))</f>
        <v>38.729999999999997</v>
      </c>
      <c r="O232" s="206" t="s">
        <v>248</v>
      </c>
      <c r="P232" s="207">
        <v>4300</v>
      </c>
      <c r="Q232" s="208">
        <v>5700</v>
      </c>
      <c r="R232" s="208"/>
      <c r="S232" s="209"/>
      <c r="T232" s="207">
        <v>4300</v>
      </c>
      <c r="U232" s="208">
        <v>5700</v>
      </c>
      <c r="V232" s="208"/>
      <c r="W232" s="209"/>
      <c r="X232" s="207">
        <v>4300</v>
      </c>
      <c r="Y232" s="208">
        <v>5700</v>
      </c>
      <c r="Z232" s="208"/>
      <c r="AA232" s="209"/>
      <c r="AB232" s="207">
        <v>4300</v>
      </c>
      <c r="AC232" s="208">
        <v>5700</v>
      </c>
      <c r="AD232" s="208"/>
      <c r="AE232" s="209"/>
      <c r="AF232" s="207">
        <v>4300</v>
      </c>
      <c r="AG232" s="208">
        <v>5700</v>
      </c>
      <c r="AH232" s="208"/>
      <c r="AI232" s="209"/>
      <c r="AJ232" s="207">
        <v>4300</v>
      </c>
      <c r="AK232" s="208">
        <v>5700</v>
      </c>
      <c r="AL232" s="208"/>
      <c r="AM232" s="209"/>
      <c r="AN232" s="207">
        <v>4300</v>
      </c>
      <c r="AO232" s="208">
        <v>5700</v>
      </c>
      <c r="AP232" s="208"/>
      <c r="AQ232" s="209"/>
      <c r="AR232" s="207">
        <v>4300</v>
      </c>
      <c r="AS232" s="208">
        <v>5700</v>
      </c>
      <c r="AT232" s="208"/>
      <c r="AU232" s="209"/>
    </row>
    <row r="233" spans="1:47">
      <c r="A233" t="s">
        <v>250</v>
      </c>
      <c r="B233" s="163" t="s">
        <v>272</v>
      </c>
      <c r="D233" s="133">
        <v>2</v>
      </c>
      <c r="E233" s="133">
        <v>-35</v>
      </c>
      <c r="F233" s="203">
        <f>INDEX($R233:$AU247,$D233,1+VLOOKUP($B233,$B$351:$E$368,4,FALSE))</f>
        <v>9.5999999999999992E-3</v>
      </c>
      <c r="G233" s="203">
        <f>INDEX($R233:$AU247,$D233,2+VLOOKUP($B233,$B$351:$E$368,4,FALSE))</f>
        <v>31.2</v>
      </c>
      <c r="H233" s="203">
        <f>INDEX($R233:$AU247,$D233,5+VLOOKUP($B233,$B$351:$E$368,4,FALSE))</f>
        <v>1.0699999999999999E-2</v>
      </c>
      <c r="I233" s="203">
        <f>INDEX($R233:$AU247,$D233,6+VLOOKUP($B233,$B$351:$E$368,4,FALSE))</f>
        <v>34.200000000000003</v>
      </c>
      <c r="J233" s="203">
        <f>INDEX($R233:$AU247,$D233,9+VLOOKUP($B233,$B$351:$E$368,4,FALSE))</f>
        <v>1.0699999999999999E-2</v>
      </c>
      <c r="K233" s="203">
        <f>INDEX($R233:$AU247,$D233,10+VLOOKUP($B233,$B$351:$E$368,4,FALSE))</f>
        <v>35.24</v>
      </c>
      <c r="L233" s="203">
        <f>INDEX($R233:$AU247,$D233,13+VLOOKUP($B233,$B$351:$E$368,4,FALSE))</f>
        <v>1.0999999999999999E-2</v>
      </c>
      <c r="M233" s="203">
        <f>INDEX($R233:$AU247,$D233,14+VLOOKUP($B233,$B$351:$E$368,4,FALSE))</f>
        <v>37.21</v>
      </c>
      <c r="O233" s="210">
        <v>-40</v>
      </c>
      <c r="P233" s="211">
        <v>76.125454545454602</v>
      </c>
      <c r="Q233" s="212">
        <v>90.2975757575758</v>
      </c>
      <c r="R233" s="203">
        <f>ROUND((Q233-P233)/(Q232-P232),4)</f>
        <v>1.01E-2</v>
      </c>
      <c r="S233" s="217">
        <f>ROUND(P233-P232*R233,2)</f>
        <v>32.700000000000003</v>
      </c>
      <c r="T233" s="211">
        <v>83.855151515151505</v>
      </c>
      <c r="U233" s="212">
        <v>99.515151515151501</v>
      </c>
      <c r="V233" s="203">
        <f>ROUND((U233-T233)/(U232-T232),4)</f>
        <v>1.12E-2</v>
      </c>
      <c r="W233" s="217">
        <f>ROUND(T233-T232*V233,2)</f>
        <v>35.700000000000003</v>
      </c>
      <c r="X233" s="211">
        <v>84.906666666666695</v>
      </c>
      <c r="Y233" s="212">
        <v>100.613333333333</v>
      </c>
      <c r="Z233" s="203">
        <f>ROUND((Y233-X233)/(Y232-X232),4)</f>
        <v>1.12E-2</v>
      </c>
      <c r="AA233" s="217">
        <f>ROUND(X233-X232*Z233,2)</f>
        <v>36.75</v>
      </c>
      <c r="AB233" s="211">
        <v>88.176969696969707</v>
      </c>
      <c r="AC233" s="212">
        <v>104.310303030303</v>
      </c>
      <c r="AD233" s="203">
        <f>ROUND((AC233-AB233)/(AC232-AB232),4)</f>
        <v>1.15E-2</v>
      </c>
      <c r="AE233" s="217">
        <f>ROUND(AB233-AB232*AD233,2)</f>
        <v>38.729999999999997</v>
      </c>
      <c r="AF233" s="212">
        <v>102.837575757576</v>
      </c>
      <c r="AG233" s="212">
        <v>122.424242424242</v>
      </c>
      <c r="AH233" s="203">
        <f>ROUND((AG233-AF233)/(AG232-AF232),4)</f>
        <v>1.4E-2</v>
      </c>
      <c r="AI233" s="217">
        <f>ROUND(AF233-AF232*AH233,2)</f>
        <v>42.64</v>
      </c>
      <c r="AJ233" s="211">
        <v>111.490303030303</v>
      </c>
      <c r="AK233" s="212">
        <v>134.56888888888901</v>
      </c>
      <c r="AL233" s="203">
        <f>ROUND((AK233-AJ233)/(AK232-AJ232),4)</f>
        <v>1.6500000000000001E-2</v>
      </c>
      <c r="AM233" s="217">
        <f>ROUND(AJ233-AJ232*AL233,2)</f>
        <v>40.54</v>
      </c>
      <c r="AN233" s="211">
        <v>113.455757575758</v>
      </c>
      <c r="AO233" s="212">
        <v>136.84848484848499</v>
      </c>
      <c r="AP233" s="203">
        <f>ROUND((AO233-AN233)/(AO232-AN232),4)</f>
        <v>1.67E-2</v>
      </c>
      <c r="AQ233" s="217">
        <f>ROUND(AN233-AN232*AP233,2)</f>
        <v>41.65</v>
      </c>
      <c r="AR233" s="211">
        <v>119.42969696969701</v>
      </c>
      <c r="AS233" s="212">
        <v>143.78727272727301</v>
      </c>
      <c r="AT233" s="203">
        <f>ROUND((AS233-AR233)/(AS232-AR232),4)</f>
        <v>1.7399999999999999E-2</v>
      </c>
      <c r="AU233" s="217">
        <f>ROUND(AR233-AR232*AT233,2)</f>
        <v>44.61</v>
      </c>
    </row>
    <row r="234" spans="1:47">
      <c r="A234" t="s">
        <v>251</v>
      </c>
      <c r="B234" s="163" t="e">
        <f>Задача_НагревательТеплоноситель</f>
        <v>#REF!</v>
      </c>
      <c r="D234" s="133">
        <v>3</v>
      </c>
      <c r="E234" s="133">
        <v>-30</v>
      </c>
      <c r="F234" s="203">
        <f>INDEX($R233:$AU247,$D234,1+VLOOKUP($B233,$B$351:$E$368,4,FALSE))</f>
        <v>9.1000000000000004E-3</v>
      </c>
      <c r="G234" s="203">
        <f>INDEX($R233:$AU247,$D234,2+VLOOKUP($B233,$B$351:$E$368,4,FALSE))</f>
        <v>29.67</v>
      </c>
      <c r="H234" s="203">
        <f>INDEX($R233:$AU247,$D234,5+VLOOKUP($B233,$B$351:$E$368,4,FALSE))</f>
        <v>1.01E-2</v>
      </c>
      <c r="I234" s="203">
        <f>INDEX($R233:$AU247,$D234,6+VLOOKUP($B233,$B$351:$E$368,4,FALSE))</f>
        <v>33.17</v>
      </c>
      <c r="J234" s="203">
        <f>INDEX($R233:$AU247,$D234,9+VLOOKUP($B233,$B$351:$E$368,4,FALSE))</f>
        <v>1.0200000000000001E-2</v>
      </c>
      <c r="K234" s="203">
        <f>INDEX($R233:$AU247,$D234,10+VLOOKUP($B233,$B$351:$E$368,4,FALSE))</f>
        <v>33.74</v>
      </c>
      <c r="L234" s="203">
        <f>INDEX($R233:$AU247,$D234,13+VLOOKUP($B233,$B$351:$E$368,4,FALSE))</f>
        <v>1.0500000000000001E-2</v>
      </c>
      <c r="M234" s="203">
        <f>INDEX($R233:$AU247,$D234,14+VLOOKUP($B233,$B$351:$E$368,4,FALSE))</f>
        <v>35.65</v>
      </c>
      <c r="O234" s="215">
        <v>-35</v>
      </c>
      <c r="P234" s="211">
        <v>72.48</v>
      </c>
      <c r="Q234" s="212">
        <v>85.953333333333305</v>
      </c>
      <c r="R234" s="203">
        <f>ROUND((Q234-P234)/(Q232-P232),4)</f>
        <v>9.5999999999999992E-3</v>
      </c>
      <c r="S234" s="217">
        <f>ROUND(P234-P232*R234,2)</f>
        <v>31.2</v>
      </c>
      <c r="T234" s="211">
        <v>80.206666666666706</v>
      </c>
      <c r="U234" s="212">
        <v>95.1666666666667</v>
      </c>
      <c r="V234" s="203">
        <f>ROUND((U234-T234)/(U232-T232),4)</f>
        <v>1.0699999999999999E-2</v>
      </c>
      <c r="W234" s="217">
        <f>ROUND(T234-T232*V234,2)</f>
        <v>34.200000000000003</v>
      </c>
      <c r="X234" s="211">
        <v>81.253333333333302</v>
      </c>
      <c r="Y234" s="212">
        <v>96.266666666666694</v>
      </c>
      <c r="Z234" s="203">
        <f>ROUND((Y234-X234)/(Y232-X232),4)</f>
        <v>1.0699999999999999E-2</v>
      </c>
      <c r="AA234" s="217">
        <f>ROUND(X234-X232*Z234,2)</f>
        <v>35.24</v>
      </c>
      <c r="AB234" s="211">
        <v>84.506666666666703</v>
      </c>
      <c r="AC234" s="212">
        <v>99.933333333333294</v>
      </c>
      <c r="AD234" s="203">
        <f>ROUND((AC234-AB234)/(AC232-AB232),4)</f>
        <v>1.0999999999999999E-2</v>
      </c>
      <c r="AE234" s="217">
        <f>ROUND(AB234-AB232*AD234,2)</f>
        <v>37.21</v>
      </c>
      <c r="AF234" s="212">
        <v>96.913333333333398</v>
      </c>
      <c r="AG234" s="212">
        <v>116.706666666667</v>
      </c>
      <c r="AH234" s="203">
        <f>ROUND((AG234-AF234)/(AG232-AF232),4)</f>
        <v>1.41E-2</v>
      </c>
      <c r="AI234" s="217">
        <f>ROUND(AF234-AF232*AH234,2)</f>
        <v>36.28</v>
      </c>
      <c r="AJ234" s="211">
        <v>106.753333333333</v>
      </c>
      <c r="AK234" s="212">
        <v>128.828888888889</v>
      </c>
      <c r="AL234" s="203">
        <f>ROUND((AK234-AJ234)/(AK232-AJ232),4)</f>
        <v>1.5800000000000002E-2</v>
      </c>
      <c r="AM234" s="217">
        <f>ROUND(AJ234-AJ232*AL234,2)</f>
        <v>38.81</v>
      </c>
      <c r="AN234" s="211">
        <v>108.713333333333</v>
      </c>
      <c r="AO234" s="212">
        <v>131.09333333333299</v>
      </c>
      <c r="AP234" s="203">
        <f>ROUND((AO234-AN234)/(AO232-AN232),4)</f>
        <v>1.6E-2</v>
      </c>
      <c r="AQ234" s="217">
        <f>ROUND(AN234-AN232*AP234,2)</f>
        <v>39.909999999999997</v>
      </c>
      <c r="AR234" s="211">
        <v>114.646666666667</v>
      </c>
      <c r="AS234" s="212">
        <v>137.97999999999999</v>
      </c>
      <c r="AT234" s="203">
        <f>ROUND((AS234-AR234)/(AS232-AR232),4)</f>
        <v>1.67E-2</v>
      </c>
      <c r="AU234" s="217">
        <f>ROUND(AR234-AR232*AT234,2)</f>
        <v>42.84</v>
      </c>
    </row>
    <row r="235" spans="1:47">
      <c r="A235" t="s">
        <v>253</v>
      </c>
      <c r="B235" s="163" t="e">
        <f>VLOOKUP("800x500",ПП_Расчет!C$10:F$19,4,0)</f>
        <v>#REF!</v>
      </c>
      <c r="D235" s="133">
        <v>4</v>
      </c>
      <c r="E235" s="133">
        <v>-25</v>
      </c>
      <c r="F235" s="203">
        <f>INDEX($R233:$AU247,$D235,1+VLOOKUP($B233,$B$351:$E$368,4,FALSE))</f>
        <v>8.6E-3</v>
      </c>
      <c r="G235" s="203">
        <f>INDEX($R233:$AU247,$D235,2+VLOOKUP($B233,$B$351:$E$368,4,FALSE))</f>
        <v>28.22</v>
      </c>
      <c r="H235" s="203">
        <f>INDEX($R233:$AU247,$D235,5+VLOOKUP($B233,$B$351:$E$368,4,FALSE))</f>
        <v>9.7000000000000003E-3</v>
      </c>
      <c r="I235" s="203">
        <f>INDEX($R233:$AU247,$D235,6+VLOOKUP($B233,$B$351:$E$368,4,FALSE))</f>
        <v>31.19</v>
      </c>
      <c r="J235" s="203">
        <f>INDEX($R233:$AU247,$D235,9+VLOOKUP($B233,$B$351:$E$368,4,FALSE))</f>
        <v>9.7999999999999997E-3</v>
      </c>
      <c r="K235" s="203">
        <f>INDEX($R233:$AU247,$D235,10+VLOOKUP($B233,$B$351:$E$368,4,FALSE))</f>
        <v>31.76</v>
      </c>
      <c r="L235" s="203">
        <f>INDEX($R233:$AU247,$D235,13+VLOOKUP($B233,$B$351:$E$368,4,FALSE))</f>
        <v>0.01</v>
      </c>
      <c r="M235" s="203">
        <f>INDEX($R233:$AU247,$D235,14+VLOOKUP($B233,$B$351:$E$368,4,FALSE))</f>
        <v>34.200000000000003</v>
      </c>
      <c r="O235" s="215">
        <v>-30</v>
      </c>
      <c r="P235" s="211">
        <v>68.8</v>
      </c>
      <c r="Q235" s="212">
        <v>81.599999999999994</v>
      </c>
      <c r="R235" s="203">
        <f>ROUND((Q235-P235)/(Q232-P232),4)</f>
        <v>9.1000000000000004E-3</v>
      </c>
      <c r="S235" s="217">
        <f>ROUND(P235-P232*R235,2)</f>
        <v>29.67</v>
      </c>
      <c r="T235" s="211">
        <v>76.599999999999994</v>
      </c>
      <c r="U235" s="212">
        <v>90.8</v>
      </c>
      <c r="V235" s="203">
        <f>ROUND((U235-T235)/(U232-T232),4)</f>
        <v>1.01E-2</v>
      </c>
      <c r="W235" s="217">
        <f>ROUND(T235-T232*V235,2)</f>
        <v>33.17</v>
      </c>
      <c r="X235" s="211">
        <v>77.599999999999994</v>
      </c>
      <c r="Y235" s="212">
        <v>91.9</v>
      </c>
      <c r="Z235" s="203">
        <f>ROUND((Y235-X235)/(Y232-X232),4)</f>
        <v>1.0200000000000001E-2</v>
      </c>
      <c r="AA235" s="217">
        <f>ROUND(X235-X232*Z235,2)</f>
        <v>33.74</v>
      </c>
      <c r="AB235" s="211">
        <v>80.8</v>
      </c>
      <c r="AC235" s="212">
        <v>95.5</v>
      </c>
      <c r="AD235" s="203">
        <f>ROUND((AC235-AB235)/(AC232-AB232),4)</f>
        <v>1.0500000000000001E-2</v>
      </c>
      <c r="AE235" s="217">
        <f>ROUND(AB235-AB232*AD235,2)</f>
        <v>35.65</v>
      </c>
      <c r="AF235" s="212">
        <v>92.1</v>
      </c>
      <c r="AG235" s="212">
        <v>111</v>
      </c>
      <c r="AH235" s="203">
        <f>ROUND((AG235-AF235)/(AG232-AF232),4)</f>
        <v>1.35E-2</v>
      </c>
      <c r="AI235" s="217">
        <f>ROUND(AF235-AF232*AH235,2)</f>
        <v>34.049999999999997</v>
      </c>
      <c r="AJ235" s="211">
        <v>102</v>
      </c>
      <c r="AK235" s="212">
        <v>123.088888888889</v>
      </c>
      <c r="AL235" s="203">
        <f>ROUND((AK235-AJ235)/(AK232-AJ232),4)</f>
        <v>1.5100000000000001E-2</v>
      </c>
      <c r="AM235" s="217">
        <f>ROUND(AJ235-AJ232*AL235,2)</f>
        <v>37.07</v>
      </c>
      <c r="AN235" s="211">
        <v>104</v>
      </c>
      <c r="AO235" s="212">
        <v>125</v>
      </c>
      <c r="AP235" s="203">
        <f>ROUND((AO235-AN235)/(AO232-AN232),4)</f>
        <v>1.4999999999999999E-2</v>
      </c>
      <c r="AQ235" s="217">
        <f>ROUND(AN235-AN232*AP235,2)</f>
        <v>39.5</v>
      </c>
      <c r="AR235" s="211">
        <v>110</v>
      </c>
      <c r="AS235" s="212">
        <v>132</v>
      </c>
      <c r="AT235" s="203">
        <f>ROUND((AS235-AR235)/(AS232-AR232),4)</f>
        <v>1.5699999999999999E-2</v>
      </c>
      <c r="AU235" s="217">
        <f>ROUND(AR235-AR232*AT235,2)</f>
        <v>42.49</v>
      </c>
    </row>
    <row r="236" spans="1:47">
      <c r="D236" s="133">
        <v>5</v>
      </c>
      <c r="E236" s="133">
        <v>-20</v>
      </c>
      <c r="F236" s="203">
        <f>INDEX($R233:$AU247,$D236,1+VLOOKUP($B233,$B$351:$E$368,4,FALSE))</f>
        <v>8.0999999999999996E-3</v>
      </c>
      <c r="G236" s="203">
        <f>INDEX($R233:$AU247,$D236,2+VLOOKUP($B233,$B$351:$E$368,4,FALSE))</f>
        <v>26.77</v>
      </c>
      <c r="H236" s="203">
        <f>INDEX($R233:$AU247,$D236,5+VLOOKUP($B233,$B$351:$E$368,4,FALSE))</f>
        <v>9.1999999999999998E-3</v>
      </c>
      <c r="I236" s="203">
        <f>INDEX($R233:$AU247,$D236,6+VLOOKUP($B233,$B$351:$E$368,4,FALSE))</f>
        <v>29.64</v>
      </c>
      <c r="J236" s="203">
        <f>INDEX($R233:$AU247,$D236,9+VLOOKUP($B233,$B$351:$E$368,4,FALSE))</f>
        <v>9.1999999999999998E-3</v>
      </c>
      <c r="K236" s="203">
        <f>INDEX($R233:$AU247,$D236,10+VLOOKUP($B233,$B$351:$E$368,4,FALSE))</f>
        <v>30.74</v>
      </c>
      <c r="L236" s="203">
        <f>INDEX($R233:$AU247,$D236,13+VLOOKUP($B233,$B$351:$E$368,4,FALSE))</f>
        <v>9.4999999999999998E-3</v>
      </c>
      <c r="M236" s="203">
        <f>INDEX($R233:$AU247,$D236,14+VLOOKUP($B233,$B$351:$E$368,4,FALSE))</f>
        <v>32.65</v>
      </c>
      <c r="O236" s="215">
        <v>-25</v>
      </c>
      <c r="P236" s="211">
        <v>65.2</v>
      </c>
      <c r="Q236" s="212">
        <v>77.3</v>
      </c>
      <c r="R236" s="203">
        <f>ROUND((Q236-P236)/(Q232-P232),4)</f>
        <v>8.6E-3</v>
      </c>
      <c r="S236" s="217">
        <f>ROUND(P236-P232*R236,2)</f>
        <v>28.22</v>
      </c>
      <c r="T236" s="211">
        <v>72.900000000000006</v>
      </c>
      <c r="U236" s="212">
        <v>86.5</v>
      </c>
      <c r="V236" s="203">
        <f>ROUND((U236-T236)/(U232-T232),4)</f>
        <v>9.7000000000000003E-3</v>
      </c>
      <c r="W236" s="217">
        <f>ROUND(T236-T232*V236,2)</f>
        <v>31.19</v>
      </c>
      <c r="X236" s="211">
        <v>73.900000000000006</v>
      </c>
      <c r="Y236" s="212">
        <v>87.6</v>
      </c>
      <c r="Z236" s="203">
        <f>ROUND((Y236-X236)/(Y232-X232),4)</f>
        <v>9.7999999999999997E-3</v>
      </c>
      <c r="AA236" s="217">
        <f>ROUND(X236-X232*Z236,2)</f>
        <v>31.76</v>
      </c>
      <c r="AB236" s="211">
        <v>77.2</v>
      </c>
      <c r="AC236" s="212">
        <v>91.2</v>
      </c>
      <c r="AD236" s="203">
        <f>ROUND((AC236-AB236)/(AC232-AB232),4)</f>
        <v>0.01</v>
      </c>
      <c r="AE236" s="217">
        <f>ROUND(AB236-AB232*AD236,2)</f>
        <v>34.200000000000003</v>
      </c>
      <c r="AF236" s="212">
        <v>87.4</v>
      </c>
      <c r="AG236" s="212">
        <v>105</v>
      </c>
      <c r="AH236" s="203">
        <f>ROUND((AG236-AF236)/(AG232-AF232),4)</f>
        <v>1.26E-2</v>
      </c>
      <c r="AI236" s="217">
        <f>ROUND(AF236-AF232*AH236,2)</f>
        <v>33.22</v>
      </c>
      <c r="AJ236" s="211">
        <v>97.3</v>
      </c>
      <c r="AK236" s="212">
        <v>117</v>
      </c>
      <c r="AL236" s="203">
        <f>ROUND((AK236-AJ236)/(AK232-AJ232),4)</f>
        <v>1.41E-2</v>
      </c>
      <c r="AM236" s="217">
        <f>ROUND(AJ236-AJ232*AL236,2)</f>
        <v>36.67</v>
      </c>
      <c r="AN236" s="211">
        <v>99.2</v>
      </c>
      <c r="AO236" s="212">
        <v>120</v>
      </c>
      <c r="AP236" s="203">
        <f>ROUND((AO236-AN236)/(AO232-AN232),4)</f>
        <v>1.49E-2</v>
      </c>
      <c r="AQ236" s="217">
        <f>ROUND(AN236-AN232*AP236,2)</f>
        <v>35.130000000000003</v>
      </c>
      <c r="AR236" s="211">
        <v>105</v>
      </c>
      <c r="AS236" s="212">
        <v>126</v>
      </c>
      <c r="AT236" s="203">
        <f>ROUND((AS236-AR236)/(AS232-AR232),4)</f>
        <v>1.4999999999999999E-2</v>
      </c>
      <c r="AU236" s="217">
        <f>ROUND(AR236-AR232*AT236,2)</f>
        <v>40.5</v>
      </c>
    </row>
    <row r="237" spans="1:47">
      <c r="A237" t="s">
        <v>66</v>
      </c>
      <c r="B237" s="163" t="e">
        <f>VLOOKUP(B235,E232:M246,VLOOKUP(B234,B$345:D$348,2,FALSE))</f>
        <v>#REF!</v>
      </c>
      <c r="D237" s="133">
        <v>6</v>
      </c>
      <c r="E237" s="133">
        <v>-15</v>
      </c>
      <c r="F237" s="203">
        <f>INDEX($R233:$AU247,$D237,1+VLOOKUP($B233,$B$351:$E$368,4,FALSE))</f>
        <v>7.6E-3</v>
      </c>
      <c r="G237" s="203">
        <f>INDEX($R233:$AU247,$D237,2+VLOOKUP($B233,$B$351:$E$368,4,FALSE))</f>
        <v>25.22</v>
      </c>
      <c r="H237" s="203">
        <f>INDEX($R233:$AU247,$D237,5+VLOOKUP($B233,$B$351:$E$368,4,FALSE))</f>
        <v>8.6999999999999994E-3</v>
      </c>
      <c r="I237" s="203">
        <f>INDEX($R233:$AU247,$D237,6+VLOOKUP($B233,$B$351:$E$368,4,FALSE))</f>
        <v>28.19</v>
      </c>
      <c r="J237" s="203">
        <f>INDEX($R233:$AU247,$D237,9+VLOOKUP($B233,$B$351:$E$368,4,FALSE))</f>
        <v>8.6999999999999994E-3</v>
      </c>
      <c r="K237" s="203">
        <f>INDEX($R233:$AU247,$D237,10+VLOOKUP($B233,$B$351:$E$368,4,FALSE))</f>
        <v>29.29</v>
      </c>
      <c r="L237" s="203">
        <f>INDEX($R233:$AU247,$D237,13+VLOOKUP($B233,$B$351:$E$368,4,FALSE))</f>
        <v>9.1000000000000004E-3</v>
      </c>
      <c r="M237" s="203">
        <f>INDEX($R233:$AU247,$D237,14+VLOOKUP($B233,$B$351:$E$368,4,FALSE))</f>
        <v>30.67</v>
      </c>
      <c r="O237" s="215">
        <v>-20</v>
      </c>
      <c r="P237" s="211">
        <v>61.6</v>
      </c>
      <c r="Q237" s="212">
        <v>72.900000000000006</v>
      </c>
      <c r="R237" s="203">
        <f>ROUND((Q237-P237)/(Q232-P232),4)</f>
        <v>8.0999999999999996E-3</v>
      </c>
      <c r="S237" s="217">
        <f>ROUND(P237-P232*R237,2)</f>
        <v>26.77</v>
      </c>
      <c r="T237" s="211">
        <v>69.2</v>
      </c>
      <c r="U237" s="212">
        <v>82.1</v>
      </c>
      <c r="V237" s="203">
        <f>ROUND((U237-T237)/(U232-T232),4)</f>
        <v>9.1999999999999998E-3</v>
      </c>
      <c r="W237" s="217">
        <f>ROUND(T237-T232*V237,2)</f>
        <v>29.64</v>
      </c>
      <c r="X237" s="211">
        <v>70.3</v>
      </c>
      <c r="Y237" s="212">
        <v>83.2</v>
      </c>
      <c r="Z237" s="203">
        <f>ROUND((Y237-X237)/(Y232-X232),4)</f>
        <v>9.1999999999999998E-3</v>
      </c>
      <c r="AA237" s="217">
        <f>ROUND(X237-X232*Z237,2)</f>
        <v>30.74</v>
      </c>
      <c r="AB237" s="211">
        <v>73.5</v>
      </c>
      <c r="AC237" s="212">
        <v>86.8</v>
      </c>
      <c r="AD237" s="203">
        <f>ROUND((AC237-AB237)/(AC232-AB232),4)</f>
        <v>9.4999999999999998E-3</v>
      </c>
      <c r="AE237" s="217">
        <f>ROUND(AB237-AB232*AD237,2)</f>
        <v>32.65</v>
      </c>
      <c r="AF237" s="212">
        <v>82.7</v>
      </c>
      <c r="AG237" s="212">
        <v>99.7</v>
      </c>
      <c r="AH237" s="203">
        <f>ROUND((AG237-AF237)/(AG232-AF232),4)</f>
        <v>1.21E-2</v>
      </c>
      <c r="AI237" s="217">
        <f>ROUND(AF237-AF232*AH237,2)</f>
        <v>30.67</v>
      </c>
      <c r="AJ237" s="211">
        <v>92.5</v>
      </c>
      <c r="AK237" s="212">
        <v>112</v>
      </c>
      <c r="AL237" s="203">
        <f>ROUND((AK237-AJ237)/(AK232-AJ232),4)</f>
        <v>1.3899999999999999E-2</v>
      </c>
      <c r="AM237" s="217">
        <f>ROUND(AJ237-AJ232*AL237,2)</f>
        <v>32.729999999999997</v>
      </c>
      <c r="AN237" s="211">
        <v>94.5</v>
      </c>
      <c r="AO237" s="212">
        <v>114</v>
      </c>
      <c r="AP237" s="203">
        <f>ROUND((AO237-AN237)/(AO232-AN232),4)</f>
        <v>1.3899999999999999E-2</v>
      </c>
      <c r="AQ237" s="217">
        <f>ROUND(AN237-AN232*AP237,2)</f>
        <v>34.729999999999997</v>
      </c>
      <c r="AR237" s="211">
        <v>100</v>
      </c>
      <c r="AS237" s="212">
        <v>121</v>
      </c>
      <c r="AT237" s="203">
        <f>ROUND((AS237-AR237)/(AS232-AR232),4)</f>
        <v>1.4999999999999999E-2</v>
      </c>
      <c r="AU237" s="217">
        <f>ROUND(AR237-AR232*AT237,2)</f>
        <v>35.5</v>
      </c>
    </row>
    <row r="238" spans="1:47">
      <c r="A238" t="s">
        <v>249</v>
      </c>
      <c r="B238" s="163" t="e">
        <f>VLOOKUP(B235,E232:M246,VLOOKUP(B234,B$345:D$348,3,FALSE))</f>
        <v>#REF!</v>
      </c>
      <c r="D238" s="133">
        <v>7</v>
      </c>
      <c r="E238" s="133">
        <v>-10</v>
      </c>
      <c r="F238" s="203">
        <f>INDEX($R233:$AU247,$D238,1+VLOOKUP($B233,$B$351:$E$368,4,FALSE))</f>
        <v>7.1000000000000004E-3</v>
      </c>
      <c r="G238" s="203">
        <f>INDEX($R233:$AU247,$D238,2+VLOOKUP($B233,$B$351:$E$368,4,FALSE))</f>
        <v>23.67</v>
      </c>
      <c r="H238" s="203">
        <f>INDEX($R233:$AU247,$D238,5+VLOOKUP($B233,$B$351:$E$368,4,FALSE))</f>
        <v>8.0999999999999996E-3</v>
      </c>
      <c r="I238" s="203">
        <f>INDEX($R233:$AU247,$D238,6+VLOOKUP($B233,$B$351:$E$368,4,FALSE))</f>
        <v>27.17</v>
      </c>
      <c r="J238" s="203">
        <f>INDEX($R233:$AU247,$D238,9+VLOOKUP($B233,$B$351:$E$368,4,FALSE))</f>
        <v>8.2000000000000007E-3</v>
      </c>
      <c r="K238" s="203">
        <f>INDEX($R233:$AU247,$D238,10+VLOOKUP($B233,$B$351:$E$368,4,FALSE))</f>
        <v>27.74</v>
      </c>
      <c r="L238" s="203">
        <f>INDEX($R233:$AU247,$D238,13+VLOOKUP($B233,$B$351:$E$368,4,FALSE))</f>
        <v>8.5000000000000006E-3</v>
      </c>
      <c r="M238" s="203">
        <f>INDEX($R233:$AU247,$D238,14+VLOOKUP($B233,$B$351:$E$368,4,FALSE))</f>
        <v>29.65</v>
      </c>
      <c r="O238" s="215">
        <v>-15</v>
      </c>
      <c r="P238" s="211">
        <v>57.9</v>
      </c>
      <c r="Q238" s="212">
        <v>68.599999999999994</v>
      </c>
      <c r="R238" s="203">
        <f>ROUND((Q238-P238)/(Q232-P232),4)</f>
        <v>7.6E-3</v>
      </c>
      <c r="S238" s="217">
        <f>ROUND(P238-P232*R238,2)</f>
        <v>25.22</v>
      </c>
      <c r="T238" s="211">
        <v>65.599999999999994</v>
      </c>
      <c r="U238" s="212">
        <v>77.8</v>
      </c>
      <c r="V238" s="203">
        <f>ROUND((U238-T238)/(U232-T232),4)</f>
        <v>8.6999999999999994E-3</v>
      </c>
      <c r="W238" s="217">
        <f>ROUND(T238-T232*V238,2)</f>
        <v>28.19</v>
      </c>
      <c r="X238" s="211">
        <v>66.7</v>
      </c>
      <c r="Y238" s="212">
        <v>78.900000000000006</v>
      </c>
      <c r="Z238" s="203">
        <f>ROUND((Y238-X238)/(Y232-X232),4)</f>
        <v>8.6999999999999994E-3</v>
      </c>
      <c r="AA238" s="217">
        <f>ROUND(X238-X232*Z238,2)</f>
        <v>29.29</v>
      </c>
      <c r="AB238" s="211">
        <v>69.8</v>
      </c>
      <c r="AC238" s="212">
        <v>82.5</v>
      </c>
      <c r="AD238" s="203">
        <f>ROUND((AC238-AB238)/(AC232-AB232),4)</f>
        <v>9.1000000000000004E-3</v>
      </c>
      <c r="AE238" s="217">
        <f>ROUND(AB238-AB232*AD238,2)</f>
        <v>30.67</v>
      </c>
      <c r="AF238" s="212">
        <v>78</v>
      </c>
      <c r="AG238" s="212">
        <v>93.9</v>
      </c>
      <c r="AH238" s="203">
        <f>ROUND((AG238-AF238)/(AG232-AF232),4)</f>
        <v>1.14E-2</v>
      </c>
      <c r="AI238" s="217">
        <f>ROUND(AF238-AF232*AH238,2)</f>
        <v>28.98</v>
      </c>
      <c r="AJ238" s="211">
        <v>87.8</v>
      </c>
      <c r="AK238" s="212">
        <v>106</v>
      </c>
      <c r="AL238" s="203">
        <f>ROUND((AK238-AJ238)/(AK232-AJ232),4)</f>
        <v>1.2999999999999999E-2</v>
      </c>
      <c r="AM238" s="217">
        <f>ROUND(AJ238-AJ232*AL238,2)</f>
        <v>31.9</v>
      </c>
      <c r="AN238" s="211">
        <v>89.7</v>
      </c>
      <c r="AO238" s="212">
        <v>108</v>
      </c>
      <c r="AP238" s="203">
        <f>ROUND((AO238-AN238)/(AO232-AN232),4)</f>
        <v>1.3100000000000001E-2</v>
      </c>
      <c r="AQ238" s="217">
        <f>ROUND(AN238-AN232*AP238,2)</f>
        <v>33.369999999999997</v>
      </c>
      <c r="AR238" s="211">
        <v>95.6</v>
      </c>
      <c r="AS238" s="212">
        <v>115</v>
      </c>
      <c r="AT238" s="203">
        <f>ROUND((AS238-AR238)/(AS232-AR232),4)</f>
        <v>1.3899999999999999E-2</v>
      </c>
      <c r="AU238" s="217">
        <f>ROUND(AR238-AR232*AT238,2)</f>
        <v>35.83</v>
      </c>
    </row>
    <row r="239" spans="1:47">
      <c r="D239" s="133">
        <v>8</v>
      </c>
      <c r="E239" s="133">
        <v>-5</v>
      </c>
      <c r="F239" s="203">
        <f>INDEX($R233:$AU247,$D239,1+VLOOKUP($B233,$B$351:$E$368,4,FALSE))</f>
        <v>6.6E-3</v>
      </c>
      <c r="G239" s="203">
        <f>INDEX($R233:$AU247,$D239,2+VLOOKUP($B233,$B$351:$E$368,4,FALSE))</f>
        <v>22.22</v>
      </c>
      <c r="H239" s="203">
        <f>INDEX($R233:$AU247,$D239,5+VLOOKUP($B233,$B$351:$E$368,4,FALSE))</f>
        <v>7.7000000000000002E-3</v>
      </c>
      <c r="I239" s="203">
        <f>INDEX($R233:$AU247,$D239,6+VLOOKUP($B233,$B$351:$E$368,4,FALSE))</f>
        <v>25.19</v>
      </c>
      <c r="J239" s="203">
        <f>INDEX($R233:$AU247,$D239,9+VLOOKUP($B233,$B$351:$E$368,4,FALSE))</f>
        <v>7.7999999999999996E-3</v>
      </c>
      <c r="K239" s="203">
        <f>INDEX($R233:$AU247,$D239,10+VLOOKUP($B233,$B$351:$E$368,4,FALSE))</f>
        <v>25.76</v>
      </c>
      <c r="L239" s="203">
        <f>INDEX($R233:$AU247,$D239,13+VLOOKUP($B233,$B$351:$E$368,4,FALSE))</f>
        <v>7.9000000000000008E-3</v>
      </c>
      <c r="M239" s="203">
        <f>INDEX($R233:$AU247,$D239,14+VLOOKUP($B233,$B$351:$E$368,4,FALSE))</f>
        <v>28.53</v>
      </c>
      <c r="O239" s="215">
        <v>-10</v>
      </c>
      <c r="P239" s="211">
        <v>54.2</v>
      </c>
      <c r="Q239" s="212">
        <v>64.2</v>
      </c>
      <c r="R239" s="203">
        <f>ROUND((Q239-P239)/(Q232-P232),4)</f>
        <v>7.1000000000000004E-3</v>
      </c>
      <c r="S239" s="217">
        <f>ROUND(P239-P232*R239,2)</f>
        <v>23.67</v>
      </c>
      <c r="T239" s="211">
        <v>62</v>
      </c>
      <c r="U239" s="212">
        <v>73.400000000000006</v>
      </c>
      <c r="V239" s="203">
        <f>ROUND((U239-T239)/(U232-T232),4)</f>
        <v>8.0999999999999996E-3</v>
      </c>
      <c r="W239" s="217">
        <f>ROUND(T239-T232*V239,2)</f>
        <v>27.17</v>
      </c>
      <c r="X239" s="211">
        <v>63</v>
      </c>
      <c r="Y239" s="212">
        <v>74.5</v>
      </c>
      <c r="Z239" s="203">
        <f>ROUND((Y239-X239)/(Y232-X232),4)</f>
        <v>8.2000000000000007E-3</v>
      </c>
      <c r="AA239" s="217">
        <f>ROUND(X239-X232*Z239,2)</f>
        <v>27.74</v>
      </c>
      <c r="AB239" s="211">
        <v>66.2</v>
      </c>
      <c r="AC239" s="212">
        <v>78.099999999999994</v>
      </c>
      <c r="AD239" s="203">
        <f>ROUND((AC239-AB239)/(AC232-AB232),4)</f>
        <v>8.5000000000000006E-3</v>
      </c>
      <c r="AE239" s="217">
        <f>ROUND(AB239-AB232*AD239,2)</f>
        <v>29.65</v>
      </c>
      <c r="AF239" s="212">
        <v>73.2</v>
      </c>
      <c r="AG239" s="212">
        <v>88.2</v>
      </c>
      <c r="AH239" s="203">
        <f>ROUND((AG239-AF239)/(AG232-AF232),4)</f>
        <v>1.0699999999999999E-2</v>
      </c>
      <c r="AI239" s="217">
        <f>ROUND(AF239-AF232*AH239,2)</f>
        <v>27.19</v>
      </c>
      <c r="AJ239" s="211">
        <v>83.1</v>
      </c>
      <c r="AK239" s="212">
        <v>100</v>
      </c>
      <c r="AL239" s="203">
        <f>ROUND((AK239-AJ239)/(AK232-AJ232),4)</f>
        <v>1.21E-2</v>
      </c>
      <c r="AM239" s="217">
        <f>ROUND(AJ239-AJ232*AL239,2)</f>
        <v>31.07</v>
      </c>
      <c r="AN239" s="211">
        <v>85</v>
      </c>
      <c r="AO239" s="212">
        <v>102</v>
      </c>
      <c r="AP239" s="203">
        <f>ROUND((AO239-AN239)/(AO232-AN232),4)</f>
        <v>1.21E-2</v>
      </c>
      <c r="AQ239" s="217">
        <f>ROUND(AN239-AN232*AP239,2)</f>
        <v>32.97</v>
      </c>
      <c r="AR239" s="211">
        <v>90.8</v>
      </c>
      <c r="AS239" s="212">
        <v>109</v>
      </c>
      <c r="AT239" s="203">
        <f>ROUND((AS239-AR239)/(AS232-AR232),4)</f>
        <v>1.2999999999999999E-2</v>
      </c>
      <c r="AU239" s="217">
        <f>ROUND(AR239-AR232*AT239,2)</f>
        <v>34.9</v>
      </c>
    </row>
    <row r="240" spans="1:47">
      <c r="A240" t="s">
        <v>254</v>
      </c>
      <c r="B240" s="163" t="e">
        <f>B232*B237+B238</f>
        <v>#REF!</v>
      </c>
      <c r="D240" s="133">
        <v>9</v>
      </c>
      <c r="E240" s="133">
        <v>0</v>
      </c>
      <c r="F240" s="203">
        <f>INDEX($R233:$AU247,$D240,1+VLOOKUP($B233,$B$351:$E$368,4,FALSE))</f>
        <v>6.1000000000000004E-3</v>
      </c>
      <c r="G240" s="203">
        <f>INDEX($R233:$AU247,$D240,2+VLOOKUP($B233,$B$351:$E$368,4,FALSE))</f>
        <v>20.77</v>
      </c>
      <c r="H240" s="203">
        <f>INDEX($R233:$AU247,$D240,5+VLOOKUP($B233,$B$351:$E$368,4,FALSE))</f>
        <v>7.1000000000000004E-3</v>
      </c>
      <c r="I240" s="203">
        <f>INDEX($R233:$AU247,$D240,6+VLOOKUP($B233,$B$351:$E$368,4,FALSE))</f>
        <v>24.17</v>
      </c>
      <c r="J240" s="203">
        <f>INDEX($R233:$AU247,$D240,9+VLOOKUP($B233,$B$351:$E$368,4,FALSE))</f>
        <v>7.3000000000000001E-3</v>
      </c>
      <c r="K240" s="203">
        <f>INDEX($R233:$AU247,$D240,10+VLOOKUP($B233,$B$351:$E$368,4,FALSE))</f>
        <v>24.31</v>
      </c>
      <c r="L240" s="203">
        <f>INDEX($R233:$AU247,$D240,13+VLOOKUP($B233,$B$351:$E$368,4,FALSE))</f>
        <v>7.4999999999999997E-3</v>
      </c>
      <c r="M240" s="203">
        <f>INDEX($R233:$AU247,$D240,14+VLOOKUP($B233,$B$351:$E$368,4,FALSE))</f>
        <v>26.55</v>
      </c>
      <c r="O240" s="215">
        <v>-5</v>
      </c>
      <c r="P240" s="211">
        <v>50.6</v>
      </c>
      <c r="Q240" s="212">
        <v>59.9</v>
      </c>
      <c r="R240" s="203">
        <f>ROUND((Q240-P240)/(Q232-P232),4)</f>
        <v>6.6E-3</v>
      </c>
      <c r="S240" s="217">
        <f>ROUND(P240-P232*R240,2)</f>
        <v>22.22</v>
      </c>
      <c r="T240" s="211">
        <v>58.3</v>
      </c>
      <c r="U240" s="212">
        <v>69.099999999999994</v>
      </c>
      <c r="V240" s="203">
        <f>ROUND((U240-T240)/(U232-T232),4)</f>
        <v>7.7000000000000002E-3</v>
      </c>
      <c r="W240" s="217">
        <f>ROUND(T240-T232*V240,2)</f>
        <v>25.19</v>
      </c>
      <c r="X240" s="211">
        <v>59.3</v>
      </c>
      <c r="Y240" s="212">
        <v>70.2</v>
      </c>
      <c r="Z240" s="203">
        <f>ROUND((Y240-X240)/(Y232-X232),4)</f>
        <v>7.7999999999999996E-3</v>
      </c>
      <c r="AA240" s="217">
        <f>ROUND(X240-X232*Z240,2)</f>
        <v>25.76</v>
      </c>
      <c r="AB240" s="211">
        <v>62.5</v>
      </c>
      <c r="AC240" s="212">
        <v>73.599999999999994</v>
      </c>
      <c r="AD240" s="203">
        <f>ROUND((AC240-AB240)/(AC232-AB232),4)</f>
        <v>7.9000000000000008E-3</v>
      </c>
      <c r="AE240" s="217">
        <f>ROUND(AB240-AB232*AD240,2)</f>
        <v>28.53</v>
      </c>
      <c r="AF240" s="211">
        <v>42.5</v>
      </c>
      <c r="AG240" s="212">
        <v>82.5</v>
      </c>
      <c r="AH240" s="203">
        <f>ROUND((AG240-AF240)/(AG232-AF232),4)</f>
        <v>2.86E-2</v>
      </c>
      <c r="AI240" s="217">
        <f>ROUND(AF240-AF232*AH240,2)</f>
        <v>-80.48</v>
      </c>
      <c r="AJ240" s="211">
        <v>78.400000000000006</v>
      </c>
      <c r="AK240" s="212">
        <v>94.4</v>
      </c>
      <c r="AL240" s="203">
        <f>ROUND((AK240-AJ240)/(AK232-AJ232),4)</f>
        <v>1.14E-2</v>
      </c>
      <c r="AM240" s="217">
        <f>ROUND(AJ240-AJ232*AL240,2)</f>
        <v>29.38</v>
      </c>
      <c r="AN240" s="211">
        <v>80.3</v>
      </c>
      <c r="AO240" s="212">
        <v>96.6</v>
      </c>
      <c r="AP240" s="203">
        <f>ROUND((AO240-AN240)/(AO232-AN232),4)</f>
        <v>1.1599999999999999E-2</v>
      </c>
      <c r="AQ240" s="217">
        <f>ROUND(AN240-AN232*AP240,2)</f>
        <v>30.42</v>
      </c>
      <c r="AR240" s="211">
        <v>86</v>
      </c>
      <c r="AS240" s="212">
        <v>103</v>
      </c>
      <c r="AT240" s="203">
        <f>ROUND((AS240-AR240)/(AS232-AR232),4)</f>
        <v>1.21E-2</v>
      </c>
      <c r="AU240" s="217">
        <f>ROUND(AR240-AR232*AT240,2)</f>
        <v>33.97</v>
      </c>
    </row>
    <row r="241" spans="1:47">
      <c r="A241" t="s">
        <v>255</v>
      </c>
      <c r="B241" s="163" t="e">
        <f>ROUND(B240/(0.000335*B232),1)+B235</f>
        <v>#REF!</v>
      </c>
      <c r="D241" s="133">
        <v>10</v>
      </c>
      <c r="E241" s="133">
        <v>5</v>
      </c>
      <c r="F241" s="203">
        <f>INDEX($R233:$AU247,$D241,1+VLOOKUP($B233,$B$351:$E$368,4,FALSE))</f>
        <v>5.5999999999999999E-3</v>
      </c>
      <c r="G241" s="203">
        <f>INDEX($R233:$AU247,$D241,2+VLOOKUP($B233,$B$351:$E$368,4,FALSE))</f>
        <v>19.22</v>
      </c>
      <c r="H241" s="203">
        <f>INDEX($R233:$AU247,$D241,5+VLOOKUP($B233,$B$351:$E$368,4,FALSE))</f>
        <v>6.7000000000000002E-3</v>
      </c>
      <c r="I241" s="203">
        <f>INDEX($R233:$AU247,$D241,6+VLOOKUP($B233,$B$351:$E$368,4,FALSE))</f>
        <v>22.19</v>
      </c>
      <c r="J241" s="203">
        <f>INDEX($R233:$AU247,$D241,9+VLOOKUP($B233,$B$351:$E$368,4,FALSE))</f>
        <v>6.7999999999999996E-3</v>
      </c>
      <c r="K241" s="203">
        <f>INDEX($R233:$AU247,$D241,10+VLOOKUP($B233,$B$351:$E$368,4,FALSE))</f>
        <v>22.76</v>
      </c>
      <c r="L241" s="203">
        <f>INDEX($R233:$AU247,$D241,13+VLOOKUP($B233,$B$351:$E$368,4,FALSE))</f>
        <v>7.0000000000000001E-3</v>
      </c>
      <c r="M241" s="203">
        <f>INDEX($R233:$AU247,$D241,14+VLOOKUP($B233,$B$351:$E$368,4,FALSE))</f>
        <v>25</v>
      </c>
      <c r="O241" s="215">
        <v>0</v>
      </c>
      <c r="P241" s="211">
        <v>47</v>
      </c>
      <c r="Q241" s="212">
        <v>55.5</v>
      </c>
      <c r="R241" s="203">
        <f>ROUND((Q241-P241)/(Q232-P232),4)</f>
        <v>6.1000000000000004E-3</v>
      </c>
      <c r="S241" s="217">
        <f>ROUND(P241-P232*R241,2)</f>
        <v>20.77</v>
      </c>
      <c r="T241" s="211">
        <v>54.7</v>
      </c>
      <c r="U241" s="212">
        <v>64.7</v>
      </c>
      <c r="V241" s="203">
        <f>ROUND((U241-T241)/(U232-T232),4)</f>
        <v>7.1000000000000004E-3</v>
      </c>
      <c r="W241" s="217">
        <f>ROUND(T241-T232*V241,2)</f>
        <v>24.17</v>
      </c>
      <c r="X241" s="211">
        <v>55.7</v>
      </c>
      <c r="Y241" s="212">
        <v>65.900000000000006</v>
      </c>
      <c r="Z241" s="203">
        <f>ROUND((Y241-X241)/(Y232-X232),4)</f>
        <v>7.3000000000000001E-3</v>
      </c>
      <c r="AA241" s="217">
        <f>ROUND(X241-X232*Z241,2)</f>
        <v>24.31</v>
      </c>
      <c r="AB241" s="211">
        <v>58.8</v>
      </c>
      <c r="AC241" s="212">
        <v>69.3</v>
      </c>
      <c r="AD241" s="203">
        <f>ROUND((AC241-AB241)/(AC232-AB232),4)</f>
        <v>7.4999999999999997E-3</v>
      </c>
      <c r="AE241" s="217">
        <f>ROUND(AB241-AB232*AD241,2)</f>
        <v>26.55</v>
      </c>
      <c r="AF241" s="211">
        <v>44.3</v>
      </c>
      <c r="AG241" s="212">
        <v>76.7</v>
      </c>
      <c r="AH241" s="203">
        <f>ROUND((AG241-AF241)/(AG232-AF232),4)</f>
        <v>2.3099999999999999E-2</v>
      </c>
      <c r="AI241" s="217">
        <f>ROUND(AF241-AF232*AH241,2)</f>
        <v>-55.03</v>
      </c>
      <c r="AJ241" s="211">
        <v>73.599999999999994</v>
      </c>
      <c r="AK241" s="212">
        <v>88.6</v>
      </c>
      <c r="AL241" s="203">
        <f>ROUND((AK241-AJ241)/(AK232-AJ232),4)</f>
        <v>1.0699999999999999E-2</v>
      </c>
      <c r="AM241" s="217">
        <f>ROUND(AJ241-AJ232*AL241,2)</f>
        <v>27.59</v>
      </c>
      <c r="AN241" s="211">
        <v>75.5</v>
      </c>
      <c r="AO241" s="212">
        <v>90.9</v>
      </c>
      <c r="AP241" s="203">
        <f>ROUND((AO241-AN241)/(AO232-AN232),4)</f>
        <v>1.0999999999999999E-2</v>
      </c>
      <c r="AQ241" s="217">
        <f>ROUND(AN241-AN232*AP241,2)</f>
        <v>28.2</v>
      </c>
      <c r="AR241" s="211">
        <v>81.3</v>
      </c>
      <c r="AS241" s="212">
        <v>97.4</v>
      </c>
      <c r="AT241" s="203">
        <f>ROUND((AS241-AR241)/(AS232-AR232),4)</f>
        <v>1.15E-2</v>
      </c>
      <c r="AU241" s="217">
        <f>ROUND(AR241-AR232*AT241,2)</f>
        <v>31.85</v>
      </c>
    </row>
    <row r="242" spans="1:47">
      <c r="D242" s="133">
        <v>11</v>
      </c>
      <c r="E242" s="133">
        <v>10</v>
      </c>
      <c r="F242" s="203">
        <f>INDEX($R233:$AU247,$D242,1+VLOOKUP($B233,$B$351:$E$368,4,FALSE))</f>
        <v>5.1000000000000004E-3</v>
      </c>
      <c r="G242" s="203">
        <f>INDEX($R233:$AU247,$D242,2+VLOOKUP($B233,$B$351:$E$368,4,FALSE))</f>
        <v>17.77</v>
      </c>
      <c r="H242" s="203">
        <f>INDEX($R233:$AU247,$D242,5+VLOOKUP($B233,$B$351:$E$368,4,FALSE))</f>
        <v>6.1000000000000004E-3</v>
      </c>
      <c r="I242" s="203">
        <f>INDEX($R233:$AU247,$D242,6+VLOOKUP($B233,$B$351:$E$368,4,FALSE))</f>
        <v>21.17</v>
      </c>
      <c r="J242" s="203">
        <f>INDEX($R233:$AU247,$D242,9+VLOOKUP($B233,$B$351:$E$368,4,FALSE))</f>
        <v>6.1999999999999998E-3</v>
      </c>
      <c r="K242" s="203">
        <f>INDEX($R233:$AU247,$D242,10+VLOOKUP($B233,$B$351:$E$368,4,FALSE))</f>
        <v>21.74</v>
      </c>
      <c r="L242" s="203">
        <f>INDEX($R233:$AU247,$D242,13+VLOOKUP($B233,$B$351:$E$368,4,FALSE))</f>
        <v>6.4000000000000003E-3</v>
      </c>
      <c r="M242" s="203">
        <f>INDEX($R233:$AU247,$D242,14+VLOOKUP($B233,$B$351:$E$368,4,FALSE))</f>
        <v>23.98</v>
      </c>
      <c r="O242" s="215">
        <v>5</v>
      </c>
      <c r="P242" s="211">
        <v>43.3</v>
      </c>
      <c r="Q242" s="212">
        <v>51.2</v>
      </c>
      <c r="R242" s="203">
        <f>ROUND((Q242-P242)/(Q232-P232),4)</f>
        <v>5.5999999999999999E-3</v>
      </c>
      <c r="S242" s="217">
        <f>ROUND(P242-P232*R242,2)</f>
        <v>19.22</v>
      </c>
      <c r="T242" s="211">
        <v>51</v>
      </c>
      <c r="U242" s="212">
        <v>60.4</v>
      </c>
      <c r="V242" s="203">
        <f>ROUND((U242-T242)/(U232-T232),4)</f>
        <v>6.7000000000000002E-3</v>
      </c>
      <c r="W242" s="217">
        <f>ROUND(T242-T232*V242,2)</f>
        <v>22.19</v>
      </c>
      <c r="X242" s="211">
        <v>52</v>
      </c>
      <c r="Y242" s="212">
        <v>61.5</v>
      </c>
      <c r="Z242" s="203">
        <f>ROUND((Y242-X242)/(Y232-X232),4)</f>
        <v>6.7999999999999996E-3</v>
      </c>
      <c r="AA242" s="217">
        <f>ROUND(X242-X232*Z242,2)</f>
        <v>22.76</v>
      </c>
      <c r="AB242" s="211">
        <v>55.1</v>
      </c>
      <c r="AC242" s="212">
        <v>64.900000000000006</v>
      </c>
      <c r="AD242" s="203">
        <f>ROUND((AC242-AB242)/(AC232-AB232),4)</f>
        <v>7.0000000000000001E-3</v>
      </c>
      <c r="AE242" s="217">
        <f>ROUND(AB242-AB232*AD242,2)</f>
        <v>25</v>
      </c>
      <c r="AF242" s="211">
        <v>46</v>
      </c>
      <c r="AG242" s="212">
        <v>70.900000000000006</v>
      </c>
      <c r="AH242" s="203">
        <f>ROUND((AG242-AF242)/(AG232-AF232),4)</f>
        <v>1.78E-2</v>
      </c>
      <c r="AI242" s="217">
        <f>ROUND(AF242-AF232*AH242,2)</f>
        <v>-30.54</v>
      </c>
      <c r="AJ242" s="211">
        <v>68.8</v>
      </c>
      <c r="AK242" s="212">
        <v>82.9</v>
      </c>
      <c r="AL242" s="203">
        <f>ROUND((AK242-AJ242)/(AK232-AJ232),4)</f>
        <v>1.01E-2</v>
      </c>
      <c r="AM242" s="217">
        <f>ROUND(AJ242-AJ232*AL242,2)</f>
        <v>25.37</v>
      </c>
      <c r="AN242" s="211">
        <v>70.8</v>
      </c>
      <c r="AO242" s="212">
        <v>85.1</v>
      </c>
      <c r="AP242" s="203">
        <f>ROUND((AO242-AN242)/(AO232-AN232),4)</f>
        <v>1.0200000000000001E-2</v>
      </c>
      <c r="AQ242" s="217">
        <f>ROUND(AN242-AN232*AP242,2)</f>
        <v>26.94</v>
      </c>
      <c r="AR242" s="211">
        <v>76.400000000000006</v>
      </c>
      <c r="AS242" s="212">
        <v>91.5</v>
      </c>
      <c r="AT242" s="203">
        <f>ROUND((AS242-AR242)/(AS232-AR232),4)</f>
        <v>1.0800000000000001E-2</v>
      </c>
      <c r="AU242" s="217">
        <f>ROUND(AR242-AR232*AT242,2)</f>
        <v>29.96</v>
      </c>
    </row>
    <row r="243" spans="1:47">
      <c r="A243" t="s">
        <v>256</v>
      </c>
      <c r="B243" s="163" t="e">
        <f>ROUND(B240/(4183*VLOOKUP(B234,B$345:E$348,4,FALSE))*3600,2)</f>
        <v>#REF!</v>
      </c>
      <c r="D243" s="133">
        <v>12</v>
      </c>
      <c r="E243" s="133">
        <v>15</v>
      </c>
      <c r="F243" s="203">
        <f>INDEX($R233:$AU247,$D243,1+VLOOKUP($B233,$B$351:$E$368,4,FALSE))</f>
        <v>4.5999999999999999E-3</v>
      </c>
      <c r="G243" s="203">
        <f>INDEX($R233:$AU247,$D243,2+VLOOKUP($B233,$B$351:$E$368,4,FALSE))</f>
        <v>16.22</v>
      </c>
      <c r="H243" s="203">
        <f>INDEX($R233:$AU247,$D243,5+VLOOKUP($B233,$B$351:$E$368,4,FALSE))</f>
        <v>5.7000000000000002E-3</v>
      </c>
      <c r="I243" s="203">
        <f>INDEX($R233:$AU247,$D243,6+VLOOKUP($B233,$B$351:$E$368,4,FALSE))</f>
        <v>19.190000000000001</v>
      </c>
      <c r="J243" s="203">
        <f>INDEX($R233:$AU247,$D243,9+VLOOKUP($B233,$B$351:$E$368,4,FALSE))</f>
        <v>5.7999999999999996E-3</v>
      </c>
      <c r="K243" s="203">
        <f>INDEX($R233:$AU247,$D243,10+VLOOKUP($B233,$B$351:$E$368,4,FALSE))</f>
        <v>19.760000000000002</v>
      </c>
      <c r="L243" s="203">
        <f>INDEX($R233:$AU247,$D243,13+VLOOKUP($B233,$B$351:$E$368,4,FALSE))</f>
        <v>6.0000000000000001E-3</v>
      </c>
      <c r="M243" s="203">
        <f>INDEX($R233:$AU247,$D243,14+VLOOKUP($B233,$B$351:$E$368,4,FALSE))</f>
        <v>22</v>
      </c>
      <c r="O243" s="215">
        <v>10</v>
      </c>
      <c r="P243" s="211">
        <v>39.700000000000003</v>
      </c>
      <c r="Q243" s="212">
        <v>46.9</v>
      </c>
      <c r="R243" s="203">
        <f>ROUND((Q243-P243)/(Q232-P232),4)</f>
        <v>5.1000000000000004E-3</v>
      </c>
      <c r="S243" s="217">
        <f>ROUND(P243-P232*R243,2)</f>
        <v>17.77</v>
      </c>
      <c r="T243" s="211">
        <v>47.4</v>
      </c>
      <c r="U243" s="212">
        <v>56</v>
      </c>
      <c r="V243" s="203">
        <f>ROUND((U243-T243)/(U232-T232),4)</f>
        <v>6.1000000000000004E-3</v>
      </c>
      <c r="W243" s="217">
        <f>ROUND(T243-T232*V243,2)</f>
        <v>21.17</v>
      </c>
      <c r="X243" s="211">
        <v>48.4</v>
      </c>
      <c r="Y243" s="212">
        <v>57.1</v>
      </c>
      <c r="Z243" s="203">
        <f>ROUND((Y243-X243)/(Y232-X232),4)</f>
        <v>6.1999999999999998E-3</v>
      </c>
      <c r="AA243" s="217">
        <f>ROUND(X243-X232*Z243,2)</f>
        <v>21.74</v>
      </c>
      <c r="AB243" s="211">
        <v>51.5</v>
      </c>
      <c r="AC243" s="212">
        <v>60.5</v>
      </c>
      <c r="AD243" s="203">
        <f>ROUND((AC243-AB243)/(AC232-AB232),4)</f>
        <v>6.4000000000000003E-3</v>
      </c>
      <c r="AE243" s="217">
        <f>ROUND(AB243-AB232*AD243,2)</f>
        <v>23.98</v>
      </c>
      <c r="AF243" s="211">
        <v>47.7</v>
      </c>
      <c r="AG243" s="212">
        <v>65.2</v>
      </c>
      <c r="AH243" s="203">
        <f>ROUND((AG243-AF243)/(AG232-AF232),4)</f>
        <v>1.2500000000000001E-2</v>
      </c>
      <c r="AI243" s="217">
        <f>ROUND(AF243-AF232*AH243,2)</f>
        <v>-6.05</v>
      </c>
      <c r="AJ243" s="211">
        <v>64.099999999999994</v>
      </c>
      <c r="AK243" s="212">
        <v>77.2</v>
      </c>
      <c r="AL243" s="203">
        <f>ROUND((AK243-AJ243)/(AK232-AJ232),4)</f>
        <v>9.4000000000000004E-3</v>
      </c>
      <c r="AM243" s="217">
        <f>ROUND(AJ243-AJ232*AL243,2)</f>
        <v>23.68</v>
      </c>
      <c r="AN243" s="211">
        <v>66</v>
      </c>
      <c r="AO243" s="212">
        <v>79.3</v>
      </c>
      <c r="AP243" s="203">
        <f>ROUND((AO243-AN243)/(AO232-AN232),4)</f>
        <v>9.4999999999999998E-3</v>
      </c>
      <c r="AQ243" s="217">
        <f>ROUND(AN243-AN232*AP243,2)</f>
        <v>25.15</v>
      </c>
      <c r="AR243" s="211">
        <v>71.599999999999994</v>
      </c>
      <c r="AS243" s="212">
        <v>85.7</v>
      </c>
      <c r="AT243" s="203">
        <f>ROUND((AS243-AR243)/(AS232-AR232),4)</f>
        <v>1.01E-2</v>
      </c>
      <c r="AU243" s="217">
        <f>ROUND(AR243-AR232*AT243,2)</f>
        <v>28.17</v>
      </c>
    </row>
    <row r="244" spans="1:47">
      <c r="A244" t="s">
        <v>257</v>
      </c>
      <c r="B244" s="163" t="e">
        <f>ROUND(100*POWER(B243/VLOOKUP(B233,B$351:C$368,2,FALSE),2),1)</f>
        <v>#REF!</v>
      </c>
      <c r="D244" s="133">
        <v>13</v>
      </c>
      <c r="E244" s="133">
        <v>20</v>
      </c>
      <c r="F244" s="203">
        <f>INDEX($R233:$AU247,$D244,1+VLOOKUP($B233,$B$351:$E$368,4,FALSE))</f>
        <v>4.1000000000000003E-3</v>
      </c>
      <c r="G244" s="203">
        <f>INDEX($R233:$AU247,$D244,2+VLOOKUP($B233,$B$351:$E$368,4,FALSE))</f>
        <v>14.75</v>
      </c>
      <c r="H244" s="203">
        <f>INDEX($R233:$AU247,$D244,5+VLOOKUP($B233,$B$351:$E$368,4,FALSE))</f>
        <v>5.1999999999999998E-3</v>
      </c>
      <c r="I244" s="203">
        <f>INDEX($R233:$AU247,$D244,6+VLOOKUP($B233,$B$351:$E$368,4,FALSE))</f>
        <v>17.71</v>
      </c>
      <c r="J244" s="203">
        <f>INDEX($R233:$AU247,$D244,9+VLOOKUP($B233,$B$351:$E$368,4,FALSE))</f>
        <v>5.3E-3</v>
      </c>
      <c r="K244" s="203">
        <f>INDEX($R233:$AU247,$D244,10+VLOOKUP($B233,$B$351:$E$368,4,FALSE))</f>
        <v>18.28</v>
      </c>
      <c r="L244" s="203">
        <f>INDEX($R233:$AU247,$D244,13+VLOOKUP($B233,$B$351:$E$368,4,FALSE))</f>
        <v>5.4999999999999997E-3</v>
      </c>
      <c r="M244" s="203">
        <f>INDEX($R233:$AU247,$D244,14+VLOOKUP($B233,$B$351:$E$368,4,FALSE))</f>
        <v>20.48</v>
      </c>
      <c r="O244" s="215">
        <v>15</v>
      </c>
      <c r="P244" s="211">
        <v>36</v>
      </c>
      <c r="Q244" s="212">
        <v>42.5</v>
      </c>
      <c r="R244" s="203">
        <f>ROUND((Q244-P244)/(Q232-P232),4)</f>
        <v>4.5999999999999999E-3</v>
      </c>
      <c r="S244" s="217">
        <f>ROUND(P244-P232*R244,2)</f>
        <v>16.22</v>
      </c>
      <c r="T244" s="211">
        <v>43.7</v>
      </c>
      <c r="U244" s="212">
        <v>51.7</v>
      </c>
      <c r="V244" s="203">
        <f>ROUND((U244-T244)/(U232-T232),4)</f>
        <v>5.7000000000000002E-3</v>
      </c>
      <c r="W244" s="217">
        <f>ROUND(T244-T232*V244,2)</f>
        <v>19.190000000000001</v>
      </c>
      <c r="X244" s="211">
        <v>44.7</v>
      </c>
      <c r="Y244" s="212">
        <v>52.8</v>
      </c>
      <c r="Z244" s="203">
        <f>ROUND((Y244-X244)/(Y232-X232),4)</f>
        <v>5.7999999999999996E-3</v>
      </c>
      <c r="AA244" s="217">
        <f>ROUND(X244-X232*Z244,2)</f>
        <v>19.760000000000002</v>
      </c>
      <c r="AB244" s="211">
        <v>47.8</v>
      </c>
      <c r="AC244" s="212">
        <v>56.2</v>
      </c>
      <c r="AD244" s="203">
        <f>ROUND((AC244-AB244)/(AC232-AB232),4)</f>
        <v>6.0000000000000001E-3</v>
      </c>
      <c r="AE244" s="217">
        <f>ROUND(AB244-AB232*AD244,2)</f>
        <v>22</v>
      </c>
      <c r="AF244" s="211">
        <v>49.4</v>
      </c>
      <c r="AG244" s="212">
        <v>59.5</v>
      </c>
      <c r="AH244" s="203">
        <f>ROUND((AG244-AF244)/(AG232-AF232),4)</f>
        <v>7.1999999999999998E-3</v>
      </c>
      <c r="AI244" s="217">
        <f>ROUND(AF244-AF232*AH244,2)</f>
        <v>18.440000000000001</v>
      </c>
      <c r="AJ244" s="211">
        <v>59.4</v>
      </c>
      <c r="AK244" s="212">
        <v>71.400000000000006</v>
      </c>
      <c r="AL244" s="203">
        <f>ROUND((AK244-AJ244)/(AK232-AJ232),4)</f>
        <v>8.6E-3</v>
      </c>
      <c r="AM244" s="217">
        <f>ROUND(AJ244-AJ232*AL244,2)</f>
        <v>22.42</v>
      </c>
      <c r="AN244" s="211">
        <v>61.3</v>
      </c>
      <c r="AO244" s="212">
        <v>73.5</v>
      </c>
      <c r="AP244" s="203">
        <f>ROUND((AO244-AN244)/(AO232-AN232),4)</f>
        <v>8.6999999999999994E-3</v>
      </c>
      <c r="AQ244" s="217">
        <f>ROUND(AN244-AN232*AP244,2)</f>
        <v>23.89</v>
      </c>
      <c r="AR244" s="211">
        <v>66.7</v>
      </c>
      <c r="AS244" s="212">
        <v>79.8</v>
      </c>
      <c r="AT244" s="203">
        <f>ROUND((AS244-AR244)/(AS232-AR232),4)</f>
        <v>9.4000000000000004E-3</v>
      </c>
      <c r="AU244" s="217">
        <f>ROUND(AR244-AR232*AT244,2)</f>
        <v>26.28</v>
      </c>
    </row>
    <row r="245" spans="1:47">
      <c r="D245" s="133">
        <v>14</v>
      </c>
      <c r="E245" s="133">
        <v>25</v>
      </c>
      <c r="F245" s="203">
        <f>INDEX($R233:$AU247,$D245,1+VLOOKUP($B233,$B$351:$E$368,4,FALSE))</f>
        <v>3.5999999999999999E-3</v>
      </c>
      <c r="G245" s="203">
        <f>INDEX($R233:$AU247,$D245,2+VLOOKUP($B233,$B$351:$E$368,4,FALSE))</f>
        <v>13.25</v>
      </c>
      <c r="H245" s="203">
        <f>INDEX($R233:$AU247,$D245,5+VLOOKUP($B233,$B$351:$E$368,4,FALSE))</f>
        <v>4.7000000000000002E-3</v>
      </c>
      <c r="I245" s="203">
        <f>INDEX($R233:$AU247,$D245,6+VLOOKUP($B233,$B$351:$E$368,4,FALSE))</f>
        <v>16.21</v>
      </c>
      <c r="J245" s="203">
        <f>INDEX($R233:$AU247,$D245,9+VLOOKUP($B233,$B$351:$E$368,4,FALSE))</f>
        <v>4.7999999999999996E-3</v>
      </c>
      <c r="K245" s="203">
        <f>INDEX($R233:$AU247,$D245,10+VLOOKUP($B233,$B$351:$E$368,4,FALSE))</f>
        <v>16.77</v>
      </c>
      <c r="L245" s="203">
        <f>INDEX($R233:$AU247,$D245,13+VLOOKUP($B233,$B$351:$E$368,4,FALSE))</f>
        <v>5.0000000000000001E-3</v>
      </c>
      <c r="M245" s="203">
        <f>INDEX($R233:$AU247,$D245,14+VLOOKUP($B233,$B$351:$E$368,4,FALSE))</f>
        <v>18.96</v>
      </c>
      <c r="O245" s="215">
        <v>20</v>
      </c>
      <c r="P245" s="211">
        <v>32.379999999999903</v>
      </c>
      <c r="Q245" s="212">
        <v>38.1666666666667</v>
      </c>
      <c r="R245" s="203">
        <f>ROUND((Q245-P245)/(Q232-P232),4)</f>
        <v>4.1000000000000003E-3</v>
      </c>
      <c r="S245" s="217">
        <f>ROUND(P245-P232*R245,2)</f>
        <v>14.75</v>
      </c>
      <c r="T245" s="211">
        <v>40.073333333333302</v>
      </c>
      <c r="U245" s="212">
        <v>47.3333333333333</v>
      </c>
      <c r="V245" s="203">
        <f>ROUND((U245-T245)/(U232-T232),4)</f>
        <v>5.1999999999999998E-3</v>
      </c>
      <c r="W245" s="217">
        <f>ROUND(T245-T232*V245,2)</f>
        <v>17.71</v>
      </c>
      <c r="X245" s="211">
        <v>41.066666666666698</v>
      </c>
      <c r="Y245" s="212">
        <v>48.453333333333298</v>
      </c>
      <c r="Z245" s="203">
        <f>ROUND((Y245-X245)/(Y232-X232),4)</f>
        <v>5.3E-3</v>
      </c>
      <c r="AA245" s="217">
        <f>ROUND(X245-X232*Z245,2)</f>
        <v>18.28</v>
      </c>
      <c r="AB245" s="211">
        <v>44.133333333333297</v>
      </c>
      <c r="AC245" s="212">
        <v>51.786666666666598</v>
      </c>
      <c r="AD245" s="203">
        <f>ROUND((AC245-AB245)/(AC232-AB232),4)</f>
        <v>5.4999999999999997E-3</v>
      </c>
      <c r="AE245" s="217">
        <f>ROUND(AB245-AB232*AD245,2)</f>
        <v>20.48</v>
      </c>
      <c r="AF245" s="212">
        <v>31.746666666666702</v>
      </c>
      <c r="AG245" s="212">
        <v>53.813333333333297</v>
      </c>
      <c r="AH245" s="203">
        <f>ROUND((AG245-AF245)/(AG232-AF232),4)</f>
        <v>1.5800000000000002E-2</v>
      </c>
      <c r="AI245" s="217">
        <f>ROUND(AF245-AF232*AH245,2)</f>
        <v>-36.19</v>
      </c>
      <c r="AJ245" s="211">
        <v>54.646666666666597</v>
      </c>
      <c r="AK245" s="212">
        <v>65.688888888888897</v>
      </c>
      <c r="AL245" s="203">
        <f>ROUND((AK245-AJ245)/(AK232-AJ232),4)</f>
        <v>7.9000000000000008E-3</v>
      </c>
      <c r="AM245" s="217">
        <f>ROUND(AJ245-AJ232*AL245,2)</f>
        <v>20.68</v>
      </c>
      <c r="AN245" s="211">
        <v>56.546666666666702</v>
      </c>
      <c r="AO245" s="212">
        <v>67.786666666666605</v>
      </c>
      <c r="AP245" s="203">
        <f>ROUND((AO245-AN245)/(AO232-AN232),4)</f>
        <v>8.0000000000000002E-3</v>
      </c>
      <c r="AQ245" s="217">
        <f>ROUND(AN245-AN232*AP245,2)</f>
        <v>22.15</v>
      </c>
      <c r="AR245" s="211">
        <v>62.033333333333402</v>
      </c>
      <c r="AS245" s="212">
        <v>74.099999999999994</v>
      </c>
      <c r="AT245" s="203">
        <f>ROUND((AS245-AR245)/(AS232-AR232),4)</f>
        <v>8.6E-3</v>
      </c>
      <c r="AU245" s="217">
        <f>ROUND(AR245-AR232*AT245,2)</f>
        <v>25.05</v>
      </c>
    </row>
    <row r="246" spans="1:47">
      <c r="D246" s="133">
        <v>15</v>
      </c>
      <c r="E246" s="133">
        <v>30</v>
      </c>
      <c r="F246" s="203">
        <f>INDEX($R233:$AU247,$D246,1+VLOOKUP($B233,$B$351:$E$368,4,FALSE))</f>
        <v>3.0999999999999999E-3</v>
      </c>
      <c r="G246" s="203">
        <f>INDEX($R233:$AU247,$D246,2+VLOOKUP($B233,$B$351:$E$368,4,FALSE))</f>
        <v>11.76</v>
      </c>
      <c r="H246" s="203">
        <f>INDEX($R233:$AU247,$D246,5+VLOOKUP($B233,$B$351:$E$368,4,FALSE))</f>
        <v>4.1999999999999997E-3</v>
      </c>
      <c r="I246" s="203">
        <f>INDEX($R233:$AU247,$D246,6+VLOOKUP($B233,$B$351:$E$368,4,FALSE))</f>
        <v>14.72</v>
      </c>
      <c r="J246" s="203">
        <f>INDEX($R233:$AU247,$D246,9+VLOOKUP($B233,$B$351:$E$368,4,FALSE))</f>
        <v>4.3E-3</v>
      </c>
      <c r="K246" s="203">
        <f>INDEX($R233:$AU247,$D246,10+VLOOKUP($B233,$B$351:$E$368,4,FALSE))</f>
        <v>15.27</v>
      </c>
      <c r="L246" s="203">
        <f>INDEX($R233:$AU247,$D246,13+VLOOKUP($B233,$B$351:$E$368,4,FALSE))</f>
        <v>4.4999999999999997E-3</v>
      </c>
      <c r="M246" s="203">
        <f>INDEX($R233:$AU247,$D246,14+VLOOKUP($B233,$B$351:$E$368,4,FALSE))</f>
        <v>17.440000000000001</v>
      </c>
      <c r="O246" s="215">
        <v>25</v>
      </c>
      <c r="P246" s="211">
        <v>28.734545454545401</v>
      </c>
      <c r="Q246" s="212">
        <v>33.822424242424198</v>
      </c>
      <c r="R246" s="203">
        <f>ROUND((Q246-P246)/(Q232-P232),4)</f>
        <v>3.5999999999999999E-3</v>
      </c>
      <c r="S246" s="217">
        <f>ROUND(P246-P232*R246,2)</f>
        <v>13.25</v>
      </c>
      <c r="T246" s="211">
        <v>36.424848484848503</v>
      </c>
      <c r="U246" s="212">
        <v>42.984848484848499</v>
      </c>
      <c r="V246" s="203">
        <f>ROUND((U246-T246)/(U232-T232),4)</f>
        <v>4.7000000000000002E-3</v>
      </c>
      <c r="W246" s="217">
        <f>ROUND(T246-T232*V246,2)</f>
        <v>16.21</v>
      </c>
      <c r="X246" s="211">
        <v>37.413333333333298</v>
      </c>
      <c r="Y246" s="212">
        <v>44.106666666666698</v>
      </c>
      <c r="Z246" s="203">
        <f>ROUND((Y246-X246)/(Y232-X232),4)</f>
        <v>4.7999999999999996E-3</v>
      </c>
      <c r="AA246" s="217">
        <f>ROUND(X246-X232*Z246,2)</f>
        <v>16.77</v>
      </c>
      <c r="AB246" s="211">
        <v>40.463030303030301</v>
      </c>
      <c r="AC246" s="212">
        <v>47.409696969697002</v>
      </c>
      <c r="AD246" s="203">
        <f>ROUND((AC246-AB246)/(AC232-AB232),4)</f>
        <v>5.0000000000000001E-3</v>
      </c>
      <c r="AE246" s="217">
        <f>ROUND(AB246-AB232*AD246,2)</f>
        <v>18.96</v>
      </c>
      <c r="AF246" s="212">
        <v>25.822424242424201</v>
      </c>
      <c r="AG246" s="212">
        <v>48.095757575757602</v>
      </c>
      <c r="AH246" s="203">
        <f>ROUND((AG246-AF246)/(AG232-AF232),4)</f>
        <v>1.5900000000000001E-2</v>
      </c>
      <c r="AI246" s="217">
        <f>ROUND(AF246-AF232*AH246,2)</f>
        <v>-42.55</v>
      </c>
      <c r="AJ246" s="211">
        <v>49.909696969696903</v>
      </c>
      <c r="AK246" s="212">
        <v>59.948888888888902</v>
      </c>
      <c r="AL246" s="203">
        <f>ROUND((AK246-AJ246)/(AK232-AJ232),4)</f>
        <v>7.1999999999999998E-3</v>
      </c>
      <c r="AM246" s="217">
        <f>ROUND(AJ246-AJ232*AL246,2)</f>
        <v>18.95</v>
      </c>
      <c r="AN246" s="211">
        <v>51.804242424242403</v>
      </c>
      <c r="AO246" s="212">
        <v>62.031515151515102</v>
      </c>
      <c r="AP246" s="203">
        <f>ROUND((AO246-AN246)/(AO232-AN232),4)</f>
        <v>7.3000000000000001E-3</v>
      </c>
      <c r="AQ246" s="217">
        <f>ROUND(AN246-AN232*AP246,2)</f>
        <v>20.41</v>
      </c>
      <c r="AR246" s="211">
        <v>57.250303030303101</v>
      </c>
      <c r="AS246" s="212">
        <v>68.292727272727305</v>
      </c>
      <c r="AT246" s="203">
        <f>ROUND((AS246-AR246)/(AS232-AR232),4)</f>
        <v>7.9000000000000008E-3</v>
      </c>
      <c r="AU246" s="217">
        <f>ROUND(AR246-AR232*AT246,2)</f>
        <v>23.28</v>
      </c>
    </row>
    <row r="247" spans="1:47" ht="15" thickBot="1">
      <c r="O247" s="216">
        <v>30</v>
      </c>
      <c r="P247" s="226">
        <v>25.089090909090899</v>
      </c>
      <c r="Q247" s="227">
        <v>29.478181818181799</v>
      </c>
      <c r="R247" s="228">
        <f>ROUND((Q247-P247)/(Q232-P232),4)</f>
        <v>3.0999999999999999E-3</v>
      </c>
      <c r="S247" s="229">
        <f>ROUND(P247-P232*R247,2)</f>
        <v>11.76</v>
      </c>
      <c r="T247" s="226">
        <v>32.776363636363598</v>
      </c>
      <c r="U247" s="227">
        <v>38.636363636363598</v>
      </c>
      <c r="V247" s="228">
        <f>ROUND((U247-T247)/(U232-T232),4)</f>
        <v>4.1999999999999997E-3</v>
      </c>
      <c r="W247" s="229">
        <f>ROUND(T247-T232*V247,2)</f>
        <v>14.72</v>
      </c>
      <c r="X247" s="226">
        <v>33.76</v>
      </c>
      <c r="Y247" s="227">
        <v>39.76</v>
      </c>
      <c r="Z247" s="228">
        <f>ROUND((Y247-X247)/(Y232-X232),4)</f>
        <v>4.3E-3</v>
      </c>
      <c r="AA247" s="229">
        <f>ROUND(X247-X232*Z247,2)</f>
        <v>15.27</v>
      </c>
      <c r="AB247" s="226">
        <v>36.792727272727198</v>
      </c>
      <c r="AC247" s="227">
        <v>43.0327272727273</v>
      </c>
      <c r="AD247" s="228">
        <f>ROUND((AC247-AB247)/(AC232-AB232),4)</f>
        <v>4.4999999999999997E-3</v>
      </c>
      <c r="AE247" s="229">
        <f>ROUND(AB247-AB232*AD247,2)</f>
        <v>17.440000000000001</v>
      </c>
      <c r="AF247" s="227">
        <v>19.898181818181801</v>
      </c>
      <c r="AG247" s="227">
        <v>42.378181818181801</v>
      </c>
      <c r="AH247" s="228">
        <f>ROUND((AG247-AF247)/(AG232-AF232),4)</f>
        <v>1.61E-2</v>
      </c>
      <c r="AI247" s="229">
        <f>ROUND(AF247-AF232*AH247,2)</f>
        <v>-49.33</v>
      </c>
      <c r="AJ247" s="226">
        <v>45.172727272727201</v>
      </c>
      <c r="AK247" s="227">
        <v>54.2088888888889</v>
      </c>
      <c r="AL247" s="228">
        <f>ROUND((AK247-AJ247)/(AK232-AJ232),4)</f>
        <v>6.4999999999999997E-3</v>
      </c>
      <c r="AM247" s="229">
        <f>ROUND(AJ247-AJ232*AL247,2)</f>
        <v>17.22</v>
      </c>
      <c r="AN247" s="226">
        <v>47.061818181818197</v>
      </c>
      <c r="AO247" s="227">
        <v>56.276363636363598</v>
      </c>
      <c r="AP247" s="228">
        <f>ROUND((AO247-AN247)/(AO232-AN232),4)</f>
        <v>6.6E-3</v>
      </c>
      <c r="AQ247" s="229">
        <f>ROUND(AN247-AN232*AP247,2)</f>
        <v>18.68</v>
      </c>
      <c r="AR247" s="226">
        <v>52.4672727272728</v>
      </c>
      <c r="AS247" s="227">
        <v>62.485454545454601</v>
      </c>
      <c r="AT247" s="228">
        <f>ROUND((AS247-AR247)/(AS232-AR232),4)</f>
        <v>7.1999999999999998E-3</v>
      </c>
      <c r="AU247" s="229">
        <f>ROUND(AR247-AR232*AT247,2)</f>
        <v>21.51</v>
      </c>
    </row>
    <row r="248" spans="1:47" ht="15" thickBot="1">
      <c r="O248" s="224"/>
      <c r="P248" s="225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  <c r="AA248" s="225"/>
      <c r="AB248" s="225"/>
      <c r="AC248" s="225"/>
      <c r="AD248" s="225"/>
      <c r="AE248" s="225"/>
      <c r="AF248" s="225"/>
      <c r="AG248" s="225"/>
      <c r="AH248" s="225"/>
      <c r="AI248" s="225"/>
      <c r="AJ248" s="225"/>
      <c r="AK248" s="225"/>
      <c r="AL248" s="225"/>
      <c r="AM248" s="225"/>
      <c r="AN248" s="225"/>
      <c r="AO248" s="225"/>
      <c r="AP248" s="225"/>
      <c r="AQ248" s="225"/>
      <c r="AR248" s="225"/>
      <c r="AS248" s="225"/>
      <c r="AT248" s="225"/>
      <c r="AU248" s="225"/>
    </row>
    <row r="249" spans="1:47" ht="15" thickBot="1">
      <c r="E249" s="163"/>
      <c r="F249" s="596" t="s">
        <v>244</v>
      </c>
      <c r="G249" s="597"/>
      <c r="H249" s="597" t="s">
        <v>245</v>
      </c>
      <c r="I249" s="597"/>
      <c r="J249" s="597" t="s">
        <v>246</v>
      </c>
      <c r="K249" s="597"/>
      <c r="L249" s="597" t="s">
        <v>247</v>
      </c>
      <c r="M249" s="598"/>
      <c r="O249" s="204" t="s">
        <v>258</v>
      </c>
      <c r="P249" s="590" t="s">
        <v>294</v>
      </c>
      <c r="Q249" s="591"/>
      <c r="R249" s="591"/>
      <c r="S249" s="591"/>
      <c r="T249" s="591"/>
      <c r="U249" s="591"/>
      <c r="V249" s="591"/>
      <c r="W249" s="591"/>
      <c r="X249" s="591"/>
      <c r="Y249" s="591"/>
      <c r="Z249" s="591"/>
      <c r="AA249" s="591"/>
      <c r="AB249" s="591"/>
      <c r="AC249" s="591"/>
      <c r="AD249" s="591"/>
      <c r="AE249" s="592"/>
      <c r="AF249" s="590" t="s">
        <v>295</v>
      </c>
      <c r="AG249" s="591"/>
      <c r="AH249" s="591"/>
      <c r="AI249" s="591"/>
      <c r="AJ249" s="591"/>
      <c r="AK249" s="591"/>
      <c r="AL249" s="591"/>
      <c r="AM249" s="591"/>
      <c r="AN249" s="591"/>
      <c r="AO249" s="591"/>
      <c r="AP249" s="591"/>
      <c r="AQ249" s="591"/>
      <c r="AR249" s="591"/>
      <c r="AS249" s="591"/>
      <c r="AT249" s="591"/>
      <c r="AU249" s="592"/>
    </row>
    <row r="250" spans="1:47" ht="15" thickBot="1">
      <c r="E250" s="163"/>
      <c r="F250" s="221" t="s">
        <v>66</v>
      </c>
      <c r="G250" s="222" t="s">
        <v>249</v>
      </c>
      <c r="H250" s="222" t="s">
        <v>66</v>
      </c>
      <c r="I250" s="222" t="s">
        <v>249</v>
      </c>
      <c r="J250" s="222" t="s">
        <v>66</v>
      </c>
      <c r="K250" s="222" t="s">
        <v>249</v>
      </c>
      <c r="L250" s="222" t="s">
        <v>66</v>
      </c>
      <c r="M250" s="223" t="s">
        <v>249</v>
      </c>
      <c r="O250" s="205" t="s">
        <v>251</v>
      </c>
      <c r="P250" s="593" t="s">
        <v>276</v>
      </c>
      <c r="Q250" s="594"/>
      <c r="R250" s="594"/>
      <c r="S250" s="595"/>
      <c r="T250" s="593" t="s">
        <v>277</v>
      </c>
      <c r="U250" s="594"/>
      <c r="V250" s="594"/>
      <c r="W250" s="595"/>
      <c r="X250" s="593" t="s">
        <v>278</v>
      </c>
      <c r="Y250" s="594"/>
      <c r="Z250" s="594"/>
      <c r="AA250" s="595"/>
      <c r="AB250" s="593" t="s">
        <v>279</v>
      </c>
      <c r="AC250" s="594"/>
      <c r="AD250" s="594"/>
      <c r="AE250" s="595"/>
      <c r="AF250" s="593" t="s">
        <v>276</v>
      </c>
      <c r="AG250" s="594"/>
      <c r="AH250" s="594"/>
      <c r="AI250" s="595"/>
      <c r="AJ250" s="593" t="s">
        <v>277</v>
      </c>
      <c r="AK250" s="594"/>
      <c r="AL250" s="594"/>
      <c r="AM250" s="595"/>
      <c r="AN250" s="593" t="s">
        <v>278</v>
      </c>
      <c r="AO250" s="594"/>
      <c r="AP250" s="594"/>
      <c r="AQ250" s="595"/>
      <c r="AR250" s="593" t="s">
        <v>279</v>
      </c>
      <c r="AS250" s="594"/>
      <c r="AT250" s="594"/>
      <c r="AU250" s="595"/>
    </row>
    <row r="251" spans="1:47" ht="15" thickBot="1">
      <c r="A251" t="s">
        <v>248</v>
      </c>
      <c r="B251" s="163" t="e">
        <f>Задача_Расход</f>
        <v>#REF!</v>
      </c>
      <c r="D251" s="133">
        <v>1</v>
      </c>
      <c r="E251" s="133">
        <v>-40</v>
      </c>
      <c r="F251" s="220">
        <f>INDEX($R252:$AU266,$D251,1+VLOOKUP($B252,$B$351:$E$368,4,FALSE))</f>
        <v>1.4E-2</v>
      </c>
      <c r="G251" s="220">
        <f>INDEX($R252:$AU266,$D251,2+VLOOKUP($B252,$B$351:$E$368,4,FALSE))</f>
        <v>42.64</v>
      </c>
      <c r="H251" s="220">
        <f>INDEX($R252:$AU266,$D251,5+VLOOKUP($B252,$B$351:$E$368,4,FALSE))</f>
        <v>1.6500000000000001E-2</v>
      </c>
      <c r="I251" s="220">
        <f>INDEX($R252:$AU266,$D251,6+VLOOKUP($B252,$B$351:$E$368,4,FALSE))</f>
        <v>40.54</v>
      </c>
      <c r="J251" s="220">
        <f>INDEX($R252:$AU266,$D251,9+VLOOKUP($B252,$B$351:$E$368,4,FALSE))</f>
        <v>1.67E-2</v>
      </c>
      <c r="K251" s="220">
        <f>INDEX($R252:$AU266,$D251,10+VLOOKUP($B252,$B$351:$E$368,4,FALSE))</f>
        <v>41.65</v>
      </c>
      <c r="L251" s="220">
        <f>INDEX($R252:$AU266,$D251,13+VLOOKUP($B252,$B$351:$E$368,4,FALSE))</f>
        <v>1.7399999999999999E-2</v>
      </c>
      <c r="M251" s="220">
        <f>INDEX($R252:$AU266,$D251,14+VLOOKUP($B252,$B$351:$E$368,4,FALSE))</f>
        <v>44.61</v>
      </c>
      <c r="O251" s="206" t="s">
        <v>248</v>
      </c>
      <c r="P251" s="207">
        <v>4300</v>
      </c>
      <c r="Q251" s="208">
        <v>5700</v>
      </c>
      <c r="R251" s="208"/>
      <c r="S251" s="209"/>
      <c r="T251" s="207">
        <v>4300</v>
      </c>
      <c r="U251" s="208">
        <v>5700</v>
      </c>
      <c r="V251" s="208"/>
      <c r="W251" s="209"/>
      <c r="X251" s="207">
        <v>4300</v>
      </c>
      <c r="Y251" s="208">
        <v>5700</v>
      </c>
      <c r="Z251" s="208"/>
      <c r="AA251" s="209"/>
      <c r="AB251" s="207">
        <v>4300</v>
      </c>
      <c r="AC251" s="208">
        <v>5700</v>
      </c>
      <c r="AD251" s="208"/>
      <c r="AE251" s="209"/>
      <c r="AF251" s="207">
        <v>4300</v>
      </c>
      <c r="AG251" s="208">
        <v>5700</v>
      </c>
      <c r="AH251" s="208"/>
      <c r="AI251" s="209"/>
      <c r="AJ251" s="207">
        <v>4300</v>
      </c>
      <c r="AK251" s="208">
        <v>5700</v>
      </c>
      <c r="AL251" s="208"/>
      <c r="AM251" s="209"/>
      <c r="AN251" s="207">
        <v>4300</v>
      </c>
      <c r="AO251" s="208">
        <v>5700</v>
      </c>
      <c r="AP251" s="208"/>
      <c r="AQ251" s="209"/>
      <c r="AR251" s="207">
        <v>4300</v>
      </c>
      <c r="AS251" s="208">
        <v>5700</v>
      </c>
      <c r="AT251" s="208"/>
      <c r="AU251" s="209"/>
    </row>
    <row r="252" spans="1:47">
      <c r="A252" t="s">
        <v>250</v>
      </c>
      <c r="B252" s="163" t="s">
        <v>275</v>
      </c>
      <c r="D252" s="133">
        <v>2</v>
      </c>
      <c r="E252" s="133">
        <v>-35</v>
      </c>
      <c r="F252" s="203">
        <f>INDEX($R252:$AU266,$D252,1+VLOOKUP($B252,$B$351:$E$368,4,FALSE))</f>
        <v>1.41E-2</v>
      </c>
      <c r="G252" s="203">
        <f>INDEX($R252:$AU266,$D252,2+VLOOKUP($B252,$B$351:$E$368,4,FALSE))</f>
        <v>36.28</v>
      </c>
      <c r="H252" s="203">
        <f>INDEX($R252:$AU266,$D252,5+VLOOKUP($B252,$B$351:$E$368,4,FALSE))</f>
        <v>1.5800000000000002E-2</v>
      </c>
      <c r="I252" s="203">
        <f>INDEX($R252:$AU266,$D252,6+VLOOKUP($B252,$B$351:$E$368,4,FALSE))</f>
        <v>38.81</v>
      </c>
      <c r="J252" s="203">
        <f>INDEX($R252:$AU266,$D252,9+VLOOKUP($B252,$B$351:$E$368,4,FALSE))</f>
        <v>1.6E-2</v>
      </c>
      <c r="K252" s="203">
        <f>INDEX($R252:$AU266,$D252,10+VLOOKUP($B252,$B$351:$E$368,4,FALSE))</f>
        <v>39.909999999999997</v>
      </c>
      <c r="L252" s="203">
        <f>INDEX($R252:$AU266,$D252,13+VLOOKUP($B252,$B$351:$E$368,4,FALSE))</f>
        <v>1.67E-2</v>
      </c>
      <c r="M252" s="203">
        <f>INDEX($R252:$AU266,$D252,14+VLOOKUP($B252,$B$351:$E$368,4,FALSE))</f>
        <v>42.84</v>
      </c>
      <c r="O252" s="210">
        <v>-40</v>
      </c>
      <c r="P252" s="211">
        <v>76.125454545454602</v>
      </c>
      <c r="Q252" s="212">
        <v>90.2975757575758</v>
      </c>
      <c r="R252" s="203">
        <f>ROUND((Q252-P252)/(Q251-P251),4)</f>
        <v>1.01E-2</v>
      </c>
      <c r="S252" s="217">
        <f>ROUND(P252-P251*R252,2)</f>
        <v>32.700000000000003</v>
      </c>
      <c r="T252" s="211">
        <v>83.855151515151505</v>
      </c>
      <c r="U252" s="212">
        <v>99.515151515151501</v>
      </c>
      <c r="V252" s="203">
        <f>ROUND((U252-T252)/(U251-T251),4)</f>
        <v>1.12E-2</v>
      </c>
      <c r="W252" s="217">
        <f>ROUND(T252-T251*V252,2)</f>
        <v>35.700000000000003</v>
      </c>
      <c r="X252" s="211">
        <v>84.906666666666695</v>
      </c>
      <c r="Y252" s="212">
        <v>100.613333333333</v>
      </c>
      <c r="Z252" s="203">
        <f>ROUND((Y252-X252)/(Y251-X251),4)</f>
        <v>1.12E-2</v>
      </c>
      <c r="AA252" s="217">
        <f>ROUND(X252-X251*Z252,2)</f>
        <v>36.75</v>
      </c>
      <c r="AB252" s="211">
        <v>88.176969696969707</v>
      </c>
      <c r="AC252" s="212">
        <v>104.310303030303</v>
      </c>
      <c r="AD252" s="203">
        <f>ROUND((AC252-AB252)/(AC251-AB251),4)</f>
        <v>1.15E-2</v>
      </c>
      <c r="AE252" s="217">
        <f>ROUND(AB252-AB251*AD252,2)</f>
        <v>38.729999999999997</v>
      </c>
      <c r="AF252" s="212">
        <v>102.837575757576</v>
      </c>
      <c r="AG252" s="212">
        <v>122.424242424242</v>
      </c>
      <c r="AH252" s="203">
        <f>ROUND((AG252-AF252)/(AG251-AF251),4)</f>
        <v>1.4E-2</v>
      </c>
      <c r="AI252" s="217">
        <f>ROUND(AF252-AF251*AH252,2)</f>
        <v>42.64</v>
      </c>
      <c r="AJ252" s="211">
        <v>111.490303030303</v>
      </c>
      <c r="AK252" s="212">
        <v>134.56888888888901</v>
      </c>
      <c r="AL252" s="203">
        <f>ROUND((AK252-AJ252)/(AK251-AJ251),4)</f>
        <v>1.6500000000000001E-2</v>
      </c>
      <c r="AM252" s="217">
        <f>ROUND(AJ252-AJ251*AL252,2)</f>
        <v>40.54</v>
      </c>
      <c r="AN252" s="211">
        <v>113.455757575758</v>
      </c>
      <c r="AO252" s="212">
        <v>136.84848484848499</v>
      </c>
      <c r="AP252" s="203">
        <f>ROUND((AO252-AN252)/(AO251-AN251),4)</f>
        <v>1.67E-2</v>
      </c>
      <c r="AQ252" s="217">
        <f>ROUND(AN252-AN251*AP252,2)</f>
        <v>41.65</v>
      </c>
      <c r="AR252" s="211">
        <v>119.42969696969701</v>
      </c>
      <c r="AS252" s="212">
        <v>143.78727272727301</v>
      </c>
      <c r="AT252" s="203">
        <f>ROUND((AS252-AR252)/(AS251-AR251),4)</f>
        <v>1.7399999999999999E-2</v>
      </c>
      <c r="AU252" s="217">
        <f>ROUND(AR252-AR251*AT252,2)</f>
        <v>44.61</v>
      </c>
    </row>
    <row r="253" spans="1:47">
      <c r="A253" t="s">
        <v>251</v>
      </c>
      <c r="B253" s="163" t="e">
        <f>Задача_НагревательТеплоноситель</f>
        <v>#REF!</v>
      </c>
      <c r="D253" s="133">
        <v>3</v>
      </c>
      <c r="E253" s="133">
        <v>-30</v>
      </c>
      <c r="F253" s="203">
        <f>INDEX($R252:$AU266,$D253,1+VLOOKUP($B252,$B$351:$E$368,4,FALSE))</f>
        <v>1.35E-2</v>
      </c>
      <c r="G253" s="203">
        <f>INDEX($R252:$AU266,$D253,2+VLOOKUP($B252,$B$351:$E$368,4,FALSE))</f>
        <v>34.049999999999997</v>
      </c>
      <c r="H253" s="203">
        <f>INDEX($R252:$AU266,$D253,5+VLOOKUP($B252,$B$351:$E$368,4,FALSE))</f>
        <v>1.5100000000000001E-2</v>
      </c>
      <c r="I253" s="203">
        <f>INDEX($R252:$AU266,$D253,6+VLOOKUP($B252,$B$351:$E$368,4,FALSE))</f>
        <v>37.07</v>
      </c>
      <c r="J253" s="203">
        <f>INDEX($R252:$AU266,$D253,9+VLOOKUP($B252,$B$351:$E$368,4,FALSE))</f>
        <v>1.4999999999999999E-2</v>
      </c>
      <c r="K253" s="203">
        <f>INDEX($R252:$AU266,$D253,10+VLOOKUP($B252,$B$351:$E$368,4,FALSE))</f>
        <v>39.5</v>
      </c>
      <c r="L253" s="203">
        <f>INDEX($R252:$AU266,$D253,13+VLOOKUP($B252,$B$351:$E$368,4,FALSE))</f>
        <v>1.5699999999999999E-2</v>
      </c>
      <c r="M253" s="203">
        <f>INDEX($R252:$AU266,$D253,14+VLOOKUP($B252,$B$351:$E$368,4,FALSE))</f>
        <v>42.49</v>
      </c>
      <c r="O253" s="215">
        <v>-35</v>
      </c>
      <c r="P253" s="211">
        <v>72.48</v>
      </c>
      <c r="Q253" s="212">
        <v>85.953333333333305</v>
      </c>
      <c r="R253" s="203">
        <f>ROUND((Q253-P253)/(Q251-P251),4)</f>
        <v>9.5999999999999992E-3</v>
      </c>
      <c r="S253" s="217">
        <f>ROUND(P253-P251*R253,2)</f>
        <v>31.2</v>
      </c>
      <c r="T253" s="211">
        <v>80.206666666666706</v>
      </c>
      <c r="U253" s="212">
        <v>95.1666666666667</v>
      </c>
      <c r="V253" s="203">
        <f>ROUND((U253-T253)/(U251-T251),4)</f>
        <v>1.0699999999999999E-2</v>
      </c>
      <c r="W253" s="217">
        <f>ROUND(T253-T251*V253,2)</f>
        <v>34.200000000000003</v>
      </c>
      <c r="X253" s="211">
        <v>81.253333333333302</v>
      </c>
      <c r="Y253" s="212">
        <v>96.266666666666694</v>
      </c>
      <c r="Z253" s="203">
        <f>ROUND((Y253-X253)/(Y251-X251),4)</f>
        <v>1.0699999999999999E-2</v>
      </c>
      <c r="AA253" s="217">
        <f>ROUND(X253-X251*Z253,2)</f>
        <v>35.24</v>
      </c>
      <c r="AB253" s="211">
        <v>84.506666666666703</v>
      </c>
      <c r="AC253" s="212">
        <v>99.933333333333294</v>
      </c>
      <c r="AD253" s="203">
        <f>ROUND((AC253-AB253)/(AC251-AB251),4)</f>
        <v>1.0999999999999999E-2</v>
      </c>
      <c r="AE253" s="217">
        <f>ROUND(AB253-AB251*AD253,2)</f>
        <v>37.21</v>
      </c>
      <c r="AF253" s="212">
        <v>96.913333333333398</v>
      </c>
      <c r="AG253" s="212">
        <v>116.706666666667</v>
      </c>
      <c r="AH253" s="203">
        <f>ROUND((AG253-AF253)/(AG251-AF251),4)</f>
        <v>1.41E-2</v>
      </c>
      <c r="AI253" s="217">
        <f>ROUND(AF253-AF251*AH253,2)</f>
        <v>36.28</v>
      </c>
      <c r="AJ253" s="211">
        <v>106.753333333333</v>
      </c>
      <c r="AK253" s="212">
        <v>128.828888888889</v>
      </c>
      <c r="AL253" s="203">
        <f>ROUND((AK253-AJ253)/(AK251-AJ251),4)</f>
        <v>1.5800000000000002E-2</v>
      </c>
      <c r="AM253" s="217">
        <f>ROUND(AJ253-AJ251*AL253,2)</f>
        <v>38.81</v>
      </c>
      <c r="AN253" s="211">
        <v>108.713333333333</v>
      </c>
      <c r="AO253" s="212">
        <v>131.09333333333299</v>
      </c>
      <c r="AP253" s="203">
        <f>ROUND((AO253-AN253)/(AO251-AN251),4)</f>
        <v>1.6E-2</v>
      </c>
      <c r="AQ253" s="217">
        <f>ROUND(AN253-AN251*AP253,2)</f>
        <v>39.909999999999997</v>
      </c>
      <c r="AR253" s="211">
        <v>114.646666666667</v>
      </c>
      <c r="AS253" s="212">
        <v>137.97999999999999</v>
      </c>
      <c r="AT253" s="203">
        <f>ROUND((AS253-AR253)/(AS251-AR251),4)</f>
        <v>1.67E-2</v>
      </c>
      <c r="AU253" s="217">
        <f>ROUND(AR253-AR251*AT253,2)</f>
        <v>42.84</v>
      </c>
    </row>
    <row r="254" spans="1:47">
      <c r="A254" t="s">
        <v>253</v>
      </c>
      <c r="B254" s="163" t="e">
        <f>VLOOKUP("800x500",ПП_Расчет!C$10:F$19,4,0)</f>
        <v>#REF!</v>
      </c>
      <c r="D254" s="133">
        <v>4</v>
      </c>
      <c r="E254" s="133">
        <v>-25</v>
      </c>
      <c r="F254" s="203">
        <f>INDEX($R252:$AU266,$D254,1+VLOOKUP($B252,$B$351:$E$368,4,FALSE))</f>
        <v>1.26E-2</v>
      </c>
      <c r="G254" s="203">
        <f>INDEX($R252:$AU266,$D254,2+VLOOKUP($B252,$B$351:$E$368,4,FALSE))</f>
        <v>33.22</v>
      </c>
      <c r="H254" s="203">
        <f>INDEX($R252:$AU266,$D254,5+VLOOKUP($B252,$B$351:$E$368,4,FALSE))</f>
        <v>1.41E-2</v>
      </c>
      <c r="I254" s="203">
        <f>INDEX($R252:$AU266,$D254,6+VLOOKUP($B252,$B$351:$E$368,4,FALSE))</f>
        <v>36.67</v>
      </c>
      <c r="J254" s="203">
        <f>INDEX($R252:$AU266,$D254,9+VLOOKUP($B252,$B$351:$E$368,4,FALSE))</f>
        <v>1.49E-2</v>
      </c>
      <c r="K254" s="203">
        <f>INDEX($R252:$AU266,$D254,10+VLOOKUP($B252,$B$351:$E$368,4,FALSE))</f>
        <v>35.130000000000003</v>
      </c>
      <c r="L254" s="203">
        <f>INDEX($R252:$AU266,$D254,13+VLOOKUP($B252,$B$351:$E$368,4,FALSE))</f>
        <v>1.4999999999999999E-2</v>
      </c>
      <c r="M254" s="203">
        <f>INDEX($R252:$AU266,$D254,14+VLOOKUP($B252,$B$351:$E$368,4,FALSE))</f>
        <v>40.5</v>
      </c>
      <c r="O254" s="215">
        <v>-30</v>
      </c>
      <c r="P254" s="211">
        <v>68.8</v>
      </c>
      <c r="Q254" s="212">
        <v>81.599999999999994</v>
      </c>
      <c r="R254" s="203">
        <f>ROUND((Q254-P254)/(Q251-P251),4)</f>
        <v>9.1000000000000004E-3</v>
      </c>
      <c r="S254" s="217">
        <f>ROUND(P254-P251*R254,2)</f>
        <v>29.67</v>
      </c>
      <c r="T254" s="211">
        <v>76.599999999999994</v>
      </c>
      <c r="U254" s="212">
        <v>90.8</v>
      </c>
      <c r="V254" s="203">
        <f>ROUND((U254-T254)/(U251-T251),4)</f>
        <v>1.01E-2</v>
      </c>
      <c r="W254" s="217">
        <f>ROUND(T254-T251*V254,2)</f>
        <v>33.17</v>
      </c>
      <c r="X254" s="211">
        <v>77.599999999999994</v>
      </c>
      <c r="Y254" s="212">
        <v>91.9</v>
      </c>
      <c r="Z254" s="203">
        <f>ROUND((Y254-X254)/(Y251-X251),4)</f>
        <v>1.0200000000000001E-2</v>
      </c>
      <c r="AA254" s="217">
        <f>ROUND(X254-X251*Z254,2)</f>
        <v>33.74</v>
      </c>
      <c r="AB254" s="211">
        <v>80.8</v>
      </c>
      <c r="AC254" s="212">
        <v>95.5</v>
      </c>
      <c r="AD254" s="203">
        <f>ROUND((AC254-AB254)/(AC251-AB251),4)</f>
        <v>1.0500000000000001E-2</v>
      </c>
      <c r="AE254" s="217">
        <f>ROUND(AB254-AB251*AD254,2)</f>
        <v>35.65</v>
      </c>
      <c r="AF254" s="212">
        <v>92.1</v>
      </c>
      <c r="AG254" s="212">
        <v>111</v>
      </c>
      <c r="AH254" s="203">
        <f>ROUND((AG254-AF254)/(AG251-AF251),4)</f>
        <v>1.35E-2</v>
      </c>
      <c r="AI254" s="217">
        <f>ROUND(AF254-AF251*AH254,2)</f>
        <v>34.049999999999997</v>
      </c>
      <c r="AJ254" s="211">
        <v>102</v>
      </c>
      <c r="AK254" s="212">
        <v>123.088888888889</v>
      </c>
      <c r="AL254" s="203">
        <f>ROUND((AK254-AJ254)/(AK251-AJ251),4)</f>
        <v>1.5100000000000001E-2</v>
      </c>
      <c r="AM254" s="217">
        <f>ROUND(AJ254-AJ251*AL254,2)</f>
        <v>37.07</v>
      </c>
      <c r="AN254" s="211">
        <v>104</v>
      </c>
      <c r="AO254" s="212">
        <v>125</v>
      </c>
      <c r="AP254" s="203">
        <f>ROUND((AO254-AN254)/(AO251-AN251),4)</f>
        <v>1.4999999999999999E-2</v>
      </c>
      <c r="AQ254" s="217">
        <f>ROUND(AN254-AN251*AP254,2)</f>
        <v>39.5</v>
      </c>
      <c r="AR254" s="211">
        <v>110</v>
      </c>
      <c r="AS254" s="212">
        <v>132</v>
      </c>
      <c r="AT254" s="203">
        <f>ROUND((AS254-AR254)/(AS251-AR251),4)</f>
        <v>1.5699999999999999E-2</v>
      </c>
      <c r="AU254" s="217">
        <f>ROUND(AR254-AR251*AT254,2)</f>
        <v>42.49</v>
      </c>
    </row>
    <row r="255" spans="1:47">
      <c r="D255" s="133">
        <v>5</v>
      </c>
      <c r="E255" s="133">
        <v>-20</v>
      </c>
      <c r="F255" s="203">
        <f>INDEX($R252:$AU266,$D255,1+VLOOKUP($B252,$B$351:$E$368,4,FALSE))</f>
        <v>1.21E-2</v>
      </c>
      <c r="G255" s="203">
        <f>INDEX($R252:$AU266,$D255,2+VLOOKUP($B252,$B$351:$E$368,4,FALSE))</f>
        <v>30.67</v>
      </c>
      <c r="H255" s="203">
        <f>INDEX($R252:$AU266,$D255,5+VLOOKUP($B252,$B$351:$E$368,4,FALSE))</f>
        <v>1.3899999999999999E-2</v>
      </c>
      <c r="I255" s="203">
        <f>INDEX($R252:$AU266,$D255,6+VLOOKUP($B252,$B$351:$E$368,4,FALSE))</f>
        <v>32.729999999999997</v>
      </c>
      <c r="J255" s="203">
        <f>INDEX($R252:$AU266,$D255,9+VLOOKUP($B252,$B$351:$E$368,4,FALSE))</f>
        <v>1.3899999999999999E-2</v>
      </c>
      <c r="K255" s="203">
        <f>INDEX($R252:$AU266,$D255,10+VLOOKUP($B252,$B$351:$E$368,4,FALSE))</f>
        <v>34.729999999999997</v>
      </c>
      <c r="L255" s="203">
        <f>INDEX($R252:$AU266,$D255,13+VLOOKUP($B252,$B$351:$E$368,4,FALSE))</f>
        <v>1.4999999999999999E-2</v>
      </c>
      <c r="M255" s="203">
        <f>INDEX($R252:$AU266,$D255,14+VLOOKUP($B252,$B$351:$E$368,4,FALSE))</f>
        <v>35.5</v>
      </c>
      <c r="O255" s="215">
        <v>-25</v>
      </c>
      <c r="P255" s="211">
        <v>65.2</v>
      </c>
      <c r="Q255" s="212">
        <v>77.3</v>
      </c>
      <c r="R255" s="203">
        <f>ROUND((Q255-P255)/(Q251-P251),4)</f>
        <v>8.6E-3</v>
      </c>
      <c r="S255" s="217">
        <f>ROUND(P255-P251*R255,2)</f>
        <v>28.22</v>
      </c>
      <c r="T255" s="211">
        <v>72.900000000000006</v>
      </c>
      <c r="U255" s="212">
        <v>86.5</v>
      </c>
      <c r="V255" s="203">
        <f>ROUND((U255-T255)/(U251-T251),4)</f>
        <v>9.7000000000000003E-3</v>
      </c>
      <c r="W255" s="217">
        <f>ROUND(T255-T251*V255,2)</f>
        <v>31.19</v>
      </c>
      <c r="X255" s="211">
        <v>73.900000000000006</v>
      </c>
      <c r="Y255" s="212">
        <v>87.6</v>
      </c>
      <c r="Z255" s="203">
        <f>ROUND((Y255-X255)/(Y251-X251),4)</f>
        <v>9.7999999999999997E-3</v>
      </c>
      <c r="AA255" s="217">
        <f>ROUND(X255-X251*Z255,2)</f>
        <v>31.76</v>
      </c>
      <c r="AB255" s="211">
        <v>77.2</v>
      </c>
      <c r="AC255" s="212">
        <v>91.2</v>
      </c>
      <c r="AD255" s="203">
        <f>ROUND((AC255-AB255)/(AC251-AB251),4)</f>
        <v>0.01</v>
      </c>
      <c r="AE255" s="217">
        <f>ROUND(AB255-AB251*AD255,2)</f>
        <v>34.200000000000003</v>
      </c>
      <c r="AF255" s="212">
        <v>87.4</v>
      </c>
      <c r="AG255" s="212">
        <v>105</v>
      </c>
      <c r="AH255" s="203">
        <f>ROUND((AG255-AF255)/(AG251-AF251),4)</f>
        <v>1.26E-2</v>
      </c>
      <c r="AI255" s="217">
        <f>ROUND(AF255-AF251*AH255,2)</f>
        <v>33.22</v>
      </c>
      <c r="AJ255" s="211">
        <v>97.3</v>
      </c>
      <c r="AK255" s="212">
        <v>117</v>
      </c>
      <c r="AL255" s="203">
        <f>ROUND((AK255-AJ255)/(AK251-AJ251),4)</f>
        <v>1.41E-2</v>
      </c>
      <c r="AM255" s="217">
        <f>ROUND(AJ255-AJ251*AL255,2)</f>
        <v>36.67</v>
      </c>
      <c r="AN255" s="211">
        <v>99.2</v>
      </c>
      <c r="AO255" s="212">
        <v>120</v>
      </c>
      <c r="AP255" s="203">
        <f>ROUND((AO255-AN255)/(AO251-AN251),4)</f>
        <v>1.49E-2</v>
      </c>
      <c r="AQ255" s="217">
        <f>ROUND(AN255-AN251*AP255,2)</f>
        <v>35.130000000000003</v>
      </c>
      <c r="AR255" s="211">
        <v>105</v>
      </c>
      <c r="AS255" s="212">
        <v>126</v>
      </c>
      <c r="AT255" s="203">
        <f>ROUND((AS255-AR255)/(AS251-AR251),4)</f>
        <v>1.4999999999999999E-2</v>
      </c>
      <c r="AU255" s="217">
        <f>ROUND(AR255-AR251*AT255,2)</f>
        <v>40.5</v>
      </c>
    </row>
    <row r="256" spans="1:47">
      <c r="A256" t="s">
        <v>66</v>
      </c>
      <c r="B256" s="163" t="e">
        <f>VLOOKUP(B254,E251:M265,VLOOKUP(B253,B$345:D$348,2,FALSE))</f>
        <v>#REF!</v>
      </c>
      <c r="D256" s="133">
        <v>6</v>
      </c>
      <c r="E256" s="133">
        <v>-15</v>
      </c>
      <c r="F256" s="203">
        <f>INDEX($R252:$AU266,$D256,1+VLOOKUP($B252,$B$351:$E$368,4,FALSE))</f>
        <v>1.14E-2</v>
      </c>
      <c r="G256" s="203">
        <f>INDEX($R252:$AU266,$D256,2+VLOOKUP($B252,$B$351:$E$368,4,FALSE))</f>
        <v>28.98</v>
      </c>
      <c r="H256" s="203">
        <f>INDEX($R252:$AU266,$D256,5+VLOOKUP($B252,$B$351:$E$368,4,FALSE))</f>
        <v>1.2999999999999999E-2</v>
      </c>
      <c r="I256" s="203">
        <f>INDEX($R252:$AU266,$D256,6+VLOOKUP($B252,$B$351:$E$368,4,FALSE))</f>
        <v>31.9</v>
      </c>
      <c r="J256" s="203">
        <f>INDEX($R252:$AU266,$D256,9+VLOOKUP($B252,$B$351:$E$368,4,FALSE))</f>
        <v>1.3100000000000001E-2</v>
      </c>
      <c r="K256" s="203">
        <f>INDEX($R252:$AU266,$D256,10+VLOOKUP($B252,$B$351:$E$368,4,FALSE))</f>
        <v>33.369999999999997</v>
      </c>
      <c r="L256" s="203">
        <f>INDEX($R252:$AU266,$D256,13+VLOOKUP($B252,$B$351:$E$368,4,FALSE))</f>
        <v>1.3899999999999999E-2</v>
      </c>
      <c r="M256" s="203">
        <f>INDEX($R252:$AU266,$D256,14+VLOOKUP($B252,$B$351:$E$368,4,FALSE))</f>
        <v>35.83</v>
      </c>
      <c r="O256" s="215">
        <v>-20</v>
      </c>
      <c r="P256" s="211">
        <v>61.6</v>
      </c>
      <c r="Q256" s="212">
        <v>72.900000000000006</v>
      </c>
      <c r="R256" s="203">
        <f>ROUND((Q256-P256)/(Q251-P251),4)</f>
        <v>8.0999999999999996E-3</v>
      </c>
      <c r="S256" s="217">
        <f>ROUND(P256-P251*R256,2)</f>
        <v>26.77</v>
      </c>
      <c r="T256" s="211">
        <v>69.2</v>
      </c>
      <c r="U256" s="212">
        <v>82.1</v>
      </c>
      <c r="V256" s="203">
        <f>ROUND((U256-T256)/(U251-T251),4)</f>
        <v>9.1999999999999998E-3</v>
      </c>
      <c r="W256" s="217">
        <f>ROUND(T256-T251*V256,2)</f>
        <v>29.64</v>
      </c>
      <c r="X256" s="211">
        <v>70.3</v>
      </c>
      <c r="Y256" s="212">
        <v>83.2</v>
      </c>
      <c r="Z256" s="203">
        <f>ROUND((Y256-X256)/(Y251-X251),4)</f>
        <v>9.1999999999999998E-3</v>
      </c>
      <c r="AA256" s="217">
        <f>ROUND(X256-X251*Z256,2)</f>
        <v>30.74</v>
      </c>
      <c r="AB256" s="211">
        <v>73.5</v>
      </c>
      <c r="AC256" s="212">
        <v>86.8</v>
      </c>
      <c r="AD256" s="203">
        <f>ROUND((AC256-AB256)/(AC251-AB251),4)</f>
        <v>9.4999999999999998E-3</v>
      </c>
      <c r="AE256" s="217">
        <f>ROUND(AB256-AB251*AD256,2)</f>
        <v>32.65</v>
      </c>
      <c r="AF256" s="212">
        <v>82.7</v>
      </c>
      <c r="AG256" s="212">
        <v>99.7</v>
      </c>
      <c r="AH256" s="203">
        <f>ROUND((AG256-AF256)/(AG251-AF251),4)</f>
        <v>1.21E-2</v>
      </c>
      <c r="AI256" s="217">
        <f>ROUND(AF256-AF251*AH256,2)</f>
        <v>30.67</v>
      </c>
      <c r="AJ256" s="211">
        <v>92.5</v>
      </c>
      <c r="AK256" s="212">
        <v>112</v>
      </c>
      <c r="AL256" s="203">
        <f>ROUND((AK256-AJ256)/(AK251-AJ251),4)</f>
        <v>1.3899999999999999E-2</v>
      </c>
      <c r="AM256" s="217">
        <f>ROUND(AJ256-AJ251*AL256,2)</f>
        <v>32.729999999999997</v>
      </c>
      <c r="AN256" s="211">
        <v>94.5</v>
      </c>
      <c r="AO256" s="212">
        <v>114</v>
      </c>
      <c r="AP256" s="203">
        <f>ROUND((AO256-AN256)/(AO251-AN251),4)</f>
        <v>1.3899999999999999E-2</v>
      </c>
      <c r="AQ256" s="217">
        <f>ROUND(AN256-AN251*AP256,2)</f>
        <v>34.729999999999997</v>
      </c>
      <c r="AR256" s="211">
        <v>100</v>
      </c>
      <c r="AS256" s="212">
        <v>121</v>
      </c>
      <c r="AT256" s="203">
        <f>ROUND((AS256-AR256)/(AS251-AR251),4)</f>
        <v>1.4999999999999999E-2</v>
      </c>
      <c r="AU256" s="217">
        <f>ROUND(AR256-AR251*AT256,2)</f>
        <v>35.5</v>
      </c>
    </row>
    <row r="257" spans="1:47">
      <c r="A257" t="s">
        <v>249</v>
      </c>
      <c r="B257" s="163" t="e">
        <f>VLOOKUP(B254,E251:M265,VLOOKUP(B253,B$345:D$348,3,FALSE))</f>
        <v>#REF!</v>
      </c>
      <c r="D257" s="133">
        <v>7</v>
      </c>
      <c r="E257" s="133">
        <v>-10</v>
      </c>
      <c r="F257" s="203">
        <f>INDEX($R252:$AU266,$D257,1+VLOOKUP($B252,$B$351:$E$368,4,FALSE))</f>
        <v>1.0699999999999999E-2</v>
      </c>
      <c r="G257" s="203">
        <f>INDEX($R252:$AU266,$D257,2+VLOOKUP($B252,$B$351:$E$368,4,FALSE))</f>
        <v>27.19</v>
      </c>
      <c r="H257" s="203">
        <f>INDEX($R252:$AU266,$D257,5+VLOOKUP($B252,$B$351:$E$368,4,FALSE))</f>
        <v>1.21E-2</v>
      </c>
      <c r="I257" s="203">
        <f>INDEX($R252:$AU266,$D257,6+VLOOKUP($B252,$B$351:$E$368,4,FALSE))</f>
        <v>31.07</v>
      </c>
      <c r="J257" s="203">
        <f>INDEX($R252:$AU266,$D257,9+VLOOKUP($B252,$B$351:$E$368,4,FALSE))</f>
        <v>1.21E-2</v>
      </c>
      <c r="K257" s="203">
        <f>INDEX($R252:$AU266,$D257,10+VLOOKUP($B252,$B$351:$E$368,4,FALSE))</f>
        <v>32.97</v>
      </c>
      <c r="L257" s="203">
        <f>INDEX($R252:$AU266,$D257,13+VLOOKUP($B252,$B$351:$E$368,4,FALSE))</f>
        <v>1.2999999999999999E-2</v>
      </c>
      <c r="M257" s="203">
        <f>INDEX($R252:$AU266,$D257,14+VLOOKUP($B252,$B$351:$E$368,4,FALSE))</f>
        <v>34.9</v>
      </c>
      <c r="O257" s="215">
        <v>-15</v>
      </c>
      <c r="P257" s="211">
        <v>57.9</v>
      </c>
      <c r="Q257" s="212">
        <v>68.599999999999994</v>
      </c>
      <c r="R257" s="203">
        <f>ROUND((Q257-P257)/(Q251-P251),4)</f>
        <v>7.6E-3</v>
      </c>
      <c r="S257" s="217">
        <f>ROUND(P257-P251*R257,2)</f>
        <v>25.22</v>
      </c>
      <c r="T257" s="211">
        <v>65.599999999999994</v>
      </c>
      <c r="U257" s="212">
        <v>77.8</v>
      </c>
      <c r="V257" s="203">
        <f>ROUND((U257-T257)/(U251-T251),4)</f>
        <v>8.6999999999999994E-3</v>
      </c>
      <c r="W257" s="217">
        <f>ROUND(T257-T251*V257,2)</f>
        <v>28.19</v>
      </c>
      <c r="X257" s="211">
        <v>66.7</v>
      </c>
      <c r="Y257" s="212">
        <v>78.900000000000006</v>
      </c>
      <c r="Z257" s="203">
        <f>ROUND((Y257-X257)/(Y251-X251),4)</f>
        <v>8.6999999999999994E-3</v>
      </c>
      <c r="AA257" s="217">
        <f>ROUND(X257-X251*Z257,2)</f>
        <v>29.29</v>
      </c>
      <c r="AB257" s="211">
        <v>69.8</v>
      </c>
      <c r="AC257" s="212">
        <v>82.5</v>
      </c>
      <c r="AD257" s="203">
        <f>ROUND((AC257-AB257)/(AC251-AB251),4)</f>
        <v>9.1000000000000004E-3</v>
      </c>
      <c r="AE257" s="217">
        <f>ROUND(AB257-AB251*AD257,2)</f>
        <v>30.67</v>
      </c>
      <c r="AF257" s="212">
        <v>78</v>
      </c>
      <c r="AG257" s="212">
        <v>93.9</v>
      </c>
      <c r="AH257" s="203">
        <f>ROUND((AG257-AF257)/(AG251-AF251),4)</f>
        <v>1.14E-2</v>
      </c>
      <c r="AI257" s="217">
        <f>ROUND(AF257-AF251*AH257,2)</f>
        <v>28.98</v>
      </c>
      <c r="AJ257" s="211">
        <v>87.8</v>
      </c>
      <c r="AK257" s="212">
        <v>106</v>
      </c>
      <c r="AL257" s="203">
        <f>ROUND((AK257-AJ257)/(AK251-AJ251),4)</f>
        <v>1.2999999999999999E-2</v>
      </c>
      <c r="AM257" s="217">
        <f>ROUND(AJ257-AJ251*AL257,2)</f>
        <v>31.9</v>
      </c>
      <c r="AN257" s="211">
        <v>89.7</v>
      </c>
      <c r="AO257" s="212">
        <v>108</v>
      </c>
      <c r="AP257" s="203">
        <f>ROUND((AO257-AN257)/(AO251-AN251),4)</f>
        <v>1.3100000000000001E-2</v>
      </c>
      <c r="AQ257" s="217">
        <f>ROUND(AN257-AN251*AP257,2)</f>
        <v>33.369999999999997</v>
      </c>
      <c r="AR257" s="211">
        <v>95.6</v>
      </c>
      <c r="AS257" s="212">
        <v>115</v>
      </c>
      <c r="AT257" s="203">
        <f>ROUND((AS257-AR257)/(AS251-AR251),4)</f>
        <v>1.3899999999999999E-2</v>
      </c>
      <c r="AU257" s="217">
        <f>ROUND(AR257-AR251*AT257,2)</f>
        <v>35.83</v>
      </c>
    </row>
    <row r="258" spans="1:47">
      <c r="D258" s="133">
        <v>8</v>
      </c>
      <c r="E258" s="133">
        <v>-5</v>
      </c>
      <c r="F258" s="203">
        <f>INDEX($R252:$AU266,$D258,1+VLOOKUP($B252,$B$351:$E$368,4,FALSE))</f>
        <v>2.86E-2</v>
      </c>
      <c r="G258" s="203">
        <f>INDEX($R252:$AU266,$D258,2+VLOOKUP($B252,$B$351:$E$368,4,FALSE))</f>
        <v>-80.48</v>
      </c>
      <c r="H258" s="203">
        <f>INDEX($R252:$AU266,$D258,5+VLOOKUP($B252,$B$351:$E$368,4,FALSE))</f>
        <v>1.14E-2</v>
      </c>
      <c r="I258" s="203">
        <f>INDEX($R252:$AU266,$D258,6+VLOOKUP($B252,$B$351:$E$368,4,FALSE))</f>
        <v>29.38</v>
      </c>
      <c r="J258" s="203">
        <f>INDEX($R252:$AU266,$D258,9+VLOOKUP($B252,$B$351:$E$368,4,FALSE))</f>
        <v>1.1599999999999999E-2</v>
      </c>
      <c r="K258" s="203">
        <f>INDEX($R252:$AU266,$D258,10+VLOOKUP($B252,$B$351:$E$368,4,FALSE))</f>
        <v>30.42</v>
      </c>
      <c r="L258" s="203">
        <f>INDEX($R252:$AU266,$D258,13+VLOOKUP($B252,$B$351:$E$368,4,FALSE))</f>
        <v>1.21E-2</v>
      </c>
      <c r="M258" s="203">
        <f>INDEX($R252:$AU266,$D258,14+VLOOKUP($B252,$B$351:$E$368,4,FALSE))</f>
        <v>33.97</v>
      </c>
      <c r="O258" s="215">
        <v>-10</v>
      </c>
      <c r="P258" s="211">
        <v>54.2</v>
      </c>
      <c r="Q258" s="212">
        <v>64.2</v>
      </c>
      <c r="R258" s="203">
        <f>ROUND((Q258-P258)/(Q251-P251),4)</f>
        <v>7.1000000000000004E-3</v>
      </c>
      <c r="S258" s="217">
        <f>ROUND(P258-P251*R258,2)</f>
        <v>23.67</v>
      </c>
      <c r="T258" s="211">
        <v>62</v>
      </c>
      <c r="U258" s="212">
        <v>73.400000000000006</v>
      </c>
      <c r="V258" s="203">
        <f>ROUND((U258-T258)/(U251-T251),4)</f>
        <v>8.0999999999999996E-3</v>
      </c>
      <c r="W258" s="217">
        <f>ROUND(T258-T251*V258,2)</f>
        <v>27.17</v>
      </c>
      <c r="X258" s="211">
        <v>63</v>
      </c>
      <c r="Y258" s="212">
        <v>74.5</v>
      </c>
      <c r="Z258" s="203">
        <f>ROUND((Y258-X258)/(Y251-X251),4)</f>
        <v>8.2000000000000007E-3</v>
      </c>
      <c r="AA258" s="217">
        <f>ROUND(X258-X251*Z258,2)</f>
        <v>27.74</v>
      </c>
      <c r="AB258" s="211">
        <v>66.2</v>
      </c>
      <c r="AC258" s="212">
        <v>78.099999999999994</v>
      </c>
      <c r="AD258" s="203">
        <f>ROUND((AC258-AB258)/(AC251-AB251),4)</f>
        <v>8.5000000000000006E-3</v>
      </c>
      <c r="AE258" s="217">
        <f>ROUND(AB258-AB251*AD258,2)</f>
        <v>29.65</v>
      </c>
      <c r="AF258" s="212">
        <v>73.2</v>
      </c>
      <c r="AG258" s="212">
        <v>88.2</v>
      </c>
      <c r="AH258" s="203">
        <f>ROUND((AG258-AF258)/(AG251-AF251),4)</f>
        <v>1.0699999999999999E-2</v>
      </c>
      <c r="AI258" s="217">
        <f>ROUND(AF258-AF251*AH258,2)</f>
        <v>27.19</v>
      </c>
      <c r="AJ258" s="211">
        <v>83.1</v>
      </c>
      <c r="AK258" s="212">
        <v>100</v>
      </c>
      <c r="AL258" s="203">
        <f>ROUND((AK258-AJ258)/(AK251-AJ251),4)</f>
        <v>1.21E-2</v>
      </c>
      <c r="AM258" s="217">
        <f>ROUND(AJ258-AJ251*AL258,2)</f>
        <v>31.07</v>
      </c>
      <c r="AN258" s="211">
        <v>85</v>
      </c>
      <c r="AO258" s="212">
        <v>102</v>
      </c>
      <c r="AP258" s="203">
        <f>ROUND((AO258-AN258)/(AO251-AN251),4)</f>
        <v>1.21E-2</v>
      </c>
      <c r="AQ258" s="217">
        <f>ROUND(AN258-AN251*AP258,2)</f>
        <v>32.97</v>
      </c>
      <c r="AR258" s="211">
        <v>90.8</v>
      </c>
      <c r="AS258" s="212">
        <v>109</v>
      </c>
      <c r="AT258" s="203">
        <f>ROUND((AS258-AR258)/(AS251-AR251),4)</f>
        <v>1.2999999999999999E-2</v>
      </c>
      <c r="AU258" s="217">
        <f>ROUND(AR258-AR251*AT258,2)</f>
        <v>34.9</v>
      </c>
    </row>
    <row r="259" spans="1:47">
      <c r="A259" t="s">
        <v>254</v>
      </c>
      <c r="B259" s="163" t="e">
        <f>B251*B256+B257</f>
        <v>#REF!</v>
      </c>
      <c r="D259" s="133">
        <v>9</v>
      </c>
      <c r="E259" s="133">
        <v>0</v>
      </c>
      <c r="F259" s="203">
        <f>INDEX($R252:$AU266,$D259,1+VLOOKUP($B252,$B$351:$E$368,4,FALSE))</f>
        <v>2.3099999999999999E-2</v>
      </c>
      <c r="G259" s="203">
        <f>INDEX($R252:$AU266,$D259,2+VLOOKUP($B252,$B$351:$E$368,4,FALSE))</f>
        <v>-55.03</v>
      </c>
      <c r="H259" s="203">
        <f>INDEX($R252:$AU266,$D259,5+VLOOKUP($B252,$B$351:$E$368,4,FALSE))</f>
        <v>1.0699999999999999E-2</v>
      </c>
      <c r="I259" s="203">
        <f>INDEX($R252:$AU266,$D259,6+VLOOKUP($B252,$B$351:$E$368,4,FALSE))</f>
        <v>27.59</v>
      </c>
      <c r="J259" s="203">
        <f>INDEX($R252:$AU266,$D259,9+VLOOKUP($B252,$B$351:$E$368,4,FALSE))</f>
        <v>1.0999999999999999E-2</v>
      </c>
      <c r="K259" s="203">
        <f>INDEX($R252:$AU266,$D259,10+VLOOKUP($B252,$B$351:$E$368,4,FALSE))</f>
        <v>28.2</v>
      </c>
      <c r="L259" s="203">
        <f>INDEX($R252:$AU266,$D259,13+VLOOKUP($B252,$B$351:$E$368,4,FALSE))</f>
        <v>1.15E-2</v>
      </c>
      <c r="M259" s="203">
        <f>INDEX($R252:$AU266,$D259,14+VLOOKUP($B252,$B$351:$E$368,4,FALSE))</f>
        <v>31.85</v>
      </c>
      <c r="O259" s="215">
        <v>-5</v>
      </c>
      <c r="P259" s="211">
        <v>50.6</v>
      </c>
      <c r="Q259" s="212">
        <v>59.9</v>
      </c>
      <c r="R259" s="203">
        <f>ROUND((Q259-P259)/(Q251-P251),4)</f>
        <v>6.6E-3</v>
      </c>
      <c r="S259" s="217">
        <f>ROUND(P259-P251*R259,2)</f>
        <v>22.22</v>
      </c>
      <c r="T259" s="211">
        <v>58.3</v>
      </c>
      <c r="U259" s="212">
        <v>69.099999999999994</v>
      </c>
      <c r="V259" s="203">
        <f>ROUND((U259-T259)/(U251-T251),4)</f>
        <v>7.7000000000000002E-3</v>
      </c>
      <c r="W259" s="217">
        <f>ROUND(T259-T251*V259,2)</f>
        <v>25.19</v>
      </c>
      <c r="X259" s="211">
        <v>59.3</v>
      </c>
      <c r="Y259" s="212">
        <v>70.2</v>
      </c>
      <c r="Z259" s="203">
        <f>ROUND((Y259-X259)/(Y251-X251),4)</f>
        <v>7.7999999999999996E-3</v>
      </c>
      <c r="AA259" s="217">
        <f>ROUND(X259-X251*Z259,2)</f>
        <v>25.76</v>
      </c>
      <c r="AB259" s="211">
        <v>62.5</v>
      </c>
      <c r="AC259" s="212">
        <v>73.599999999999994</v>
      </c>
      <c r="AD259" s="203">
        <f>ROUND((AC259-AB259)/(AC251-AB251),4)</f>
        <v>7.9000000000000008E-3</v>
      </c>
      <c r="AE259" s="217">
        <f>ROUND(AB259-AB251*AD259,2)</f>
        <v>28.53</v>
      </c>
      <c r="AF259" s="211">
        <v>42.5</v>
      </c>
      <c r="AG259" s="212">
        <v>82.5</v>
      </c>
      <c r="AH259" s="203">
        <f>ROUND((AG259-AF259)/(AG251-AF251),4)</f>
        <v>2.86E-2</v>
      </c>
      <c r="AI259" s="217">
        <f>ROUND(AF259-AF251*AH259,2)</f>
        <v>-80.48</v>
      </c>
      <c r="AJ259" s="211">
        <v>78.400000000000006</v>
      </c>
      <c r="AK259" s="212">
        <v>94.4</v>
      </c>
      <c r="AL259" s="203">
        <f>ROUND((AK259-AJ259)/(AK251-AJ251),4)</f>
        <v>1.14E-2</v>
      </c>
      <c r="AM259" s="217">
        <f>ROUND(AJ259-AJ251*AL259,2)</f>
        <v>29.38</v>
      </c>
      <c r="AN259" s="211">
        <v>80.3</v>
      </c>
      <c r="AO259" s="212">
        <v>96.6</v>
      </c>
      <c r="AP259" s="203">
        <f>ROUND((AO259-AN259)/(AO251-AN251),4)</f>
        <v>1.1599999999999999E-2</v>
      </c>
      <c r="AQ259" s="217">
        <f>ROUND(AN259-AN251*AP259,2)</f>
        <v>30.42</v>
      </c>
      <c r="AR259" s="211">
        <v>86</v>
      </c>
      <c r="AS259" s="212">
        <v>103</v>
      </c>
      <c r="AT259" s="203">
        <f>ROUND((AS259-AR259)/(AS251-AR251),4)</f>
        <v>1.21E-2</v>
      </c>
      <c r="AU259" s="217">
        <f>ROUND(AR259-AR251*AT259,2)</f>
        <v>33.97</v>
      </c>
    </row>
    <row r="260" spans="1:47">
      <c r="A260" t="s">
        <v>255</v>
      </c>
      <c r="B260" s="163" t="e">
        <f>ROUND(B259/(0.000335*B251),1)+B254</f>
        <v>#REF!</v>
      </c>
      <c r="D260" s="133">
        <v>10</v>
      </c>
      <c r="E260" s="133">
        <v>5</v>
      </c>
      <c r="F260" s="203">
        <f>INDEX($R252:$AU266,$D260,1+VLOOKUP($B252,$B$351:$E$368,4,FALSE))</f>
        <v>1.78E-2</v>
      </c>
      <c r="G260" s="203">
        <f>INDEX($R252:$AU266,$D260,2+VLOOKUP($B252,$B$351:$E$368,4,FALSE))</f>
        <v>-30.54</v>
      </c>
      <c r="H260" s="203">
        <f>INDEX($R252:$AU266,$D260,5+VLOOKUP($B252,$B$351:$E$368,4,FALSE))</f>
        <v>1.01E-2</v>
      </c>
      <c r="I260" s="203">
        <f>INDEX($R252:$AU266,$D260,6+VLOOKUP($B252,$B$351:$E$368,4,FALSE))</f>
        <v>25.37</v>
      </c>
      <c r="J260" s="203">
        <f>INDEX($R252:$AU266,$D260,9+VLOOKUP($B252,$B$351:$E$368,4,FALSE))</f>
        <v>1.0200000000000001E-2</v>
      </c>
      <c r="K260" s="203">
        <f>INDEX($R252:$AU266,$D260,10+VLOOKUP($B252,$B$351:$E$368,4,FALSE))</f>
        <v>26.94</v>
      </c>
      <c r="L260" s="203">
        <f>INDEX($R252:$AU266,$D260,13+VLOOKUP($B252,$B$351:$E$368,4,FALSE))</f>
        <v>1.0800000000000001E-2</v>
      </c>
      <c r="M260" s="203">
        <f>INDEX($R252:$AU266,$D260,14+VLOOKUP($B252,$B$351:$E$368,4,FALSE))</f>
        <v>29.96</v>
      </c>
      <c r="O260" s="215">
        <v>0</v>
      </c>
      <c r="P260" s="211">
        <v>47</v>
      </c>
      <c r="Q260" s="212">
        <v>55.5</v>
      </c>
      <c r="R260" s="203">
        <f>ROUND((Q260-P260)/(Q251-P251),4)</f>
        <v>6.1000000000000004E-3</v>
      </c>
      <c r="S260" s="217">
        <f>ROUND(P260-P251*R260,2)</f>
        <v>20.77</v>
      </c>
      <c r="T260" s="211">
        <v>54.7</v>
      </c>
      <c r="U260" s="212">
        <v>64.7</v>
      </c>
      <c r="V260" s="203">
        <f>ROUND((U260-T260)/(U251-T251),4)</f>
        <v>7.1000000000000004E-3</v>
      </c>
      <c r="W260" s="217">
        <f>ROUND(T260-T251*V260,2)</f>
        <v>24.17</v>
      </c>
      <c r="X260" s="211">
        <v>55.7</v>
      </c>
      <c r="Y260" s="212">
        <v>65.900000000000006</v>
      </c>
      <c r="Z260" s="203">
        <f>ROUND((Y260-X260)/(Y251-X251),4)</f>
        <v>7.3000000000000001E-3</v>
      </c>
      <c r="AA260" s="217">
        <f>ROUND(X260-X251*Z260,2)</f>
        <v>24.31</v>
      </c>
      <c r="AB260" s="211">
        <v>58.8</v>
      </c>
      <c r="AC260" s="212">
        <v>69.3</v>
      </c>
      <c r="AD260" s="203">
        <f>ROUND((AC260-AB260)/(AC251-AB251),4)</f>
        <v>7.4999999999999997E-3</v>
      </c>
      <c r="AE260" s="217">
        <f>ROUND(AB260-AB251*AD260,2)</f>
        <v>26.55</v>
      </c>
      <c r="AF260" s="211">
        <v>44.3</v>
      </c>
      <c r="AG260" s="212">
        <v>76.7</v>
      </c>
      <c r="AH260" s="203">
        <f>ROUND((AG260-AF260)/(AG251-AF251),4)</f>
        <v>2.3099999999999999E-2</v>
      </c>
      <c r="AI260" s="217">
        <f>ROUND(AF260-AF251*AH260,2)</f>
        <v>-55.03</v>
      </c>
      <c r="AJ260" s="211">
        <v>73.599999999999994</v>
      </c>
      <c r="AK260" s="212">
        <v>88.6</v>
      </c>
      <c r="AL260" s="203">
        <f>ROUND((AK260-AJ260)/(AK251-AJ251),4)</f>
        <v>1.0699999999999999E-2</v>
      </c>
      <c r="AM260" s="217">
        <f>ROUND(AJ260-AJ251*AL260,2)</f>
        <v>27.59</v>
      </c>
      <c r="AN260" s="211">
        <v>75.5</v>
      </c>
      <c r="AO260" s="212">
        <v>90.9</v>
      </c>
      <c r="AP260" s="203">
        <f>ROUND((AO260-AN260)/(AO251-AN251),4)</f>
        <v>1.0999999999999999E-2</v>
      </c>
      <c r="AQ260" s="217">
        <f>ROUND(AN260-AN251*AP260,2)</f>
        <v>28.2</v>
      </c>
      <c r="AR260" s="211">
        <v>81.3</v>
      </c>
      <c r="AS260" s="212">
        <v>97.4</v>
      </c>
      <c r="AT260" s="203">
        <f>ROUND((AS260-AR260)/(AS251-AR251),4)</f>
        <v>1.15E-2</v>
      </c>
      <c r="AU260" s="217">
        <f>ROUND(AR260-AR251*AT260,2)</f>
        <v>31.85</v>
      </c>
    </row>
    <row r="261" spans="1:47">
      <c r="D261" s="133">
        <v>11</v>
      </c>
      <c r="E261" s="133">
        <v>10</v>
      </c>
      <c r="F261" s="203">
        <f>INDEX($R252:$AU266,$D261,1+VLOOKUP($B252,$B$351:$E$368,4,FALSE))</f>
        <v>1.2500000000000001E-2</v>
      </c>
      <c r="G261" s="203">
        <f>INDEX($R252:$AU266,$D261,2+VLOOKUP($B252,$B$351:$E$368,4,FALSE))</f>
        <v>-6.05</v>
      </c>
      <c r="H261" s="203">
        <f>INDEX($R252:$AU266,$D261,5+VLOOKUP($B252,$B$351:$E$368,4,FALSE))</f>
        <v>9.4000000000000004E-3</v>
      </c>
      <c r="I261" s="203">
        <f>INDEX($R252:$AU266,$D261,6+VLOOKUP($B252,$B$351:$E$368,4,FALSE))</f>
        <v>23.68</v>
      </c>
      <c r="J261" s="203">
        <f>INDEX($R252:$AU266,$D261,9+VLOOKUP($B252,$B$351:$E$368,4,FALSE))</f>
        <v>9.4999999999999998E-3</v>
      </c>
      <c r="K261" s="203">
        <f>INDEX($R252:$AU266,$D261,10+VLOOKUP($B252,$B$351:$E$368,4,FALSE))</f>
        <v>25.15</v>
      </c>
      <c r="L261" s="203">
        <f>INDEX($R252:$AU266,$D261,13+VLOOKUP($B252,$B$351:$E$368,4,FALSE))</f>
        <v>1.01E-2</v>
      </c>
      <c r="M261" s="203">
        <f>INDEX($R252:$AU266,$D261,14+VLOOKUP($B252,$B$351:$E$368,4,FALSE))</f>
        <v>28.17</v>
      </c>
      <c r="O261" s="215">
        <v>5</v>
      </c>
      <c r="P261" s="211">
        <v>43.3</v>
      </c>
      <c r="Q261" s="212">
        <v>51.2</v>
      </c>
      <c r="R261" s="203">
        <f>ROUND((Q261-P261)/(Q251-P251),4)</f>
        <v>5.5999999999999999E-3</v>
      </c>
      <c r="S261" s="217">
        <f>ROUND(P261-P251*R261,2)</f>
        <v>19.22</v>
      </c>
      <c r="T261" s="211">
        <v>51</v>
      </c>
      <c r="U261" s="212">
        <v>60.4</v>
      </c>
      <c r="V261" s="203">
        <f>ROUND((U261-T261)/(U251-T251),4)</f>
        <v>6.7000000000000002E-3</v>
      </c>
      <c r="W261" s="217">
        <f>ROUND(T261-T251*V261,2)</f>
        <v>22.19</v>
      </c>
      <c r="X261" s="211">
        <v>52</v>
      </c>
      <c r="Y261" s="212">
        <v>61.5</v>
      </c>
      <c r="Z261" s="203">
        <f>ROUND((Y261-X261)/(Y251-X251),4)</f>
        <v>6.7999999999999996E-3</v>
      </c>
      <c r="AA261" s="217">
        <f>ROUND(X261-X251*Z261,2)</f>
        <v>22.76</v>
      </c>
      <c r="AB261" s="211">
        <v>55.1</v>
      </c>
      <c r="AC261" s="212">
        <v>64.900000000000006</v>
      </c>
      <c r="AD261" s="203">
        <f>ROUND((AC261-AB261)/(AC251-AB251),4)</f>
        <v>7.0000000000000001E-3</v>
      </c>
      <c r="AE261" s="217">
        <f>ROUND(AB261-AB251*AD261,2)</f>
        <v>25</v>
      </c>
      <c r="AF261" s="211">
        <v>46</v>
      </c>
      <c r="AG261" s="212">
        <v>70.900000000000006</v>
      </c>
      <c r="AH261" s="203">
        <f>ROUND((AG261-AF261)/(AG251-AF251),4)</f>
        <v>1.78E-2</v>
      </c>
      <c r="AI261" s="217">
        <f>ROUND(AF261-AF251*AH261,2)</f>
        <v>-30.54</v>
      </c>
      <c r="AJ261" s="211">
        <v>68.8</v>
      </c>
      <c r="AK261" s="212">
        <v>82.9</v>
      </c>
      <c r="AL261" s="203">
        <f>ROUND((AK261-AJ261)/(AK251-AJ251),4)</f>
        <v>1.01E-2</v>
      </c>
      <c r="AM261" s="217">
        <f>ROUND(AJ261-AJ251*AL261,2)</f>
        <v>25.37</v>
      </c>
      <c r="AN261" s="211">
        <v>70.8</v>
      </c>
      <c r="AO261" s="212">
        <v>85.1</v>
      </c>
      <c r="AP261" s="203">
        <f>ROUND((AO261-AN261)/(AO251-AN251),4)</f>
        <v>1.0200000000000001E-2</v>
      </c>
      <c r="AQ261" s="217">
        <f>ROUND(AN261-AN251*AP261,2)</f>
        <v>26.94</v>
      </c>
      <c r="AR261" s="211">
        <v>76.400000000000006</v>
      </c>
      <c r="AS261" s="212">
        <v>91.5</v>
      </c>
      <c r="AT261" s="203">
        <f>ROUND((AS261-AR261)/(AS251-AR251),4)</f>
        <v>1.0800000000000001E-2</v>
      </c>
      <c r="AU261" s="217">
        <f>ROUND(AR261-AR251*AT261,2)</f>
        <v>29.96</v>
      </c>
    </row>
    <row r="262" spans="1:47">
      <c r="A262" t="s">
        <v>256</v>
      </c>
      <c r="B262" s="163" t="e">
        <f>ROUND(B259/(4183*VLOOKUP(B253,B$345:E$348,4,FALSE))*3600,2)</f>
        <v>#REF!</v>
      </c>
      <c r="D262" s="133">
        <v>12</v>
      </c>
      <c r="E262" s="133">
        <v>15</v>
      </c>
      <c r="F262" s="203">
        <f>INDEX($R252:$AU266,$D262,1+VLOOKUP($B252,$B$351:$E$368,4,FALSE))</f>
        <v>7.1999999999999998E-3</v>
      </c>
      <c r="G262" s="203">
        <f>INDEX($R252:$AU266,$D262,2+VLOOKUP($B252,$B$351:$E$368,4,FALSE))</f>
        <v>18.440000000000001</v>
      </c>
      <c r="H262" s="203">
        <f>INDEX($R252:$AU266,$D262,5+VLOOKUP($B252,$B$351:$E$368,4,FALSE))</f>
        <v>8.6E-3</v>
      </c>
      <c r="I262" s="203">
        <f>INDEX($R252:$AU266,$D262,6+VLOOKUP($B252,$B$351:$E$368,4,FALSE))</f>
        <v>22.42</v>
      </c>
      <c r="J262" s="203">
        <f>INDEX($R252:$AU266,$D262,9+VLOOKUP($B252,$B$351:$E$368,4,FALSE))</f>
        <v>8.6999999999999994E-3</v>
      </c>
      <c r="K262" s="203">
        <f>INDEX($R252:$AU266,$D262,10+VLOOKUP($B252,$B$351:$E$368,4,FALSE))</f>
        <v>23.89</v>
      </c>
      <c r="L262" s="203">
        <f>INDEX($R252:$AU266,$D262,13+VLOOKUP($B252,$B$351:$E$368,4,FALSE))</f>
        <v>9.4000000000000004E-3</v>
      </c>
      <c r="M262" s="203">
        <f>INDEX($R252:$AU266,$D262,14+VLOOKUP($B252,$B$351:$E$368,4,FALSE))</f>
        <v>26.28</v>
      </c>
      <c r="O262" s="215">
        <v>10</v>
      </c>
      <c r="P262" s="211">
        <v>39.700000000000003</v>
      </c>
      <c r="Q262" s="212">
        <v>46.9</v>
      </c>
      <c r="R262" s="203">
        <f>ROUND((Q262-P262)/(Q251-P251),4)</f>
        <v>5.1000000000000004E-3</v>
      </c>
      <c r="S262" s="217">
        <f>ROUND(P262-P251*R262,2)</f>
        <v>17.77</v>
      </c>
      <c r="T262" s="211">
        <v>47.4</v>
      </c>
      <c r="U262" s="212">
        <v>56</v>
      </c>
      <c r="V262" s="203">
        <f>ROUND((U262-T262)/(U251-T251),4)</f>
        <v>6.1000000000000004E-3</v>
      </c>
      <c r="W262" s="217">
        <f>ROUND(T262-T251*V262,2)</f>
        <v>21.17</v>
      </c>
      <c r="X262" s="211">
        <v>48.4</v>
      </c>
      <c r="Y262" s="212">
        <v>57.1</v>
      </c>
      <c r="Z262" s="203">
        <f>ROUND((Y262-X262)/(Y251-X251),4)</f>
        <v>6.1999999999999998E-3</v>
      </c>
      <c r="AA262" s="217">
        <f>ROUND(X262-X251*Z262,2)</f>
        <v>21.74</v>
      </c>
      <c r="AB262" s="211">
        <v>51.5</v>
      </c>
      <c r="AC262" s="212">
        <v>60.5</v>
      </c>
      <c r="AD262" s="203">
        <f>ROUND((AC262-AB262)/(AC251-AB251),4)</f>
        <v>6.4000000000000003E-3</v>
      </c>
      <c r="AE262" s="217">
        <f>ROUND(AB262-AB251*AD262,2)</f>
        <v>23.98</v>
      </c>
      <c r="AF262" s="211">
        <v>47.7</v>
      </c>
      <c r="AG262" s="212">
        <v>65.2</v>
      </c>
      <c r="AH262" s="203">
        <f>ROUND((AG262-AF262)/(AG251-AF251),4)</f>
        <v>1.2500000000000001E-2</v>
      </c>
      <c r="AI262" s="217">
        <f>ROUND(AF262-AF251*AH262,2)</f>
        <v>-6.05</v>
      </c>
      <c r="AJ262" s="211">
        <v>64.099999999999994</v>
      </c>
      <c r="AK262" s="212">
        <v>77.2</v>
      </c>
      <c r="AL262" s="203">
        <f>ROUND((AK262-AJ262)/(AK251-AJ251),4)</f>
        <v>9.4000000000000004E-3</v>
      </c>
      <c r="AM262" s="217">
        <f>ROUND(AJ262-AJ251*AL262,2)</f>
        <v>23.68</v>
      </c>
      <c r="AN262" s="211">
        <v>66</v>
      </c>
      <c r="AO262" s="212">
        <v>79.3</v>
      </c>
      <c r="AP262" s="203">
        <f>ROUND((AO262-AN262)/(AO251-AN251),4)</f>
        <v>9.4999999999999998E-3</v>
      </c>
      <c r="AQ262" s="217">
        <f>ROUND(AN262-AN251*AP262,2)</f>
        <v>25.15</v>
      </c>
      <c r="AR262" s="211">
        <v>71.599999999999994</v>
      </c>
      <c r="AS262" s="212">
        <v>85.7</v>
      </c>
      <c r="AT262" s="203">
        <f>ROUND((AS262-AR262)/(AS251-AR251),4)</f>
        <v>1.01E-2</v>
      </c>
      <c r="AU262" s="217">
        <f>ROUND(AR262-AR251*AT262,2)</f>
        <v>28.17</v>
      </c>
    </row>
    <row r="263" spans="1:47">
      <c r="A263" t="s">
        <v>257</v>
      </c>
      <c r="B263" s="163" t="e">
        <f>ROUND(100*POWER(B262/VLOOKUP(B252,B$351:C$368,2,FALSE),2),1)</f>
        <v>#REF!</v>
      </c>
      <c r="D263" s="133">
        <v>13</v>
      </c>
      <c r="E263" s="133">
        <v>20</v>
      </c>
      <c r="F263" s="203">
        <f>INDEX($R252:$AU266,$D263,1+VLOOKUP($B252,$B$351:$E$368,4,FALSE))</f>
        <v>1.5800000000000002E-2</v>
      </c>
      <c r="G263" s="203">
        <f>INDEX($R252:$AU266,$D263,2+VLOOKUP($B252,$B$351:$E$368,4,FALSE))</f>
        <v>-36.19</v>
      </c>
      <c r="H263" s="203">
        <f>INDEX($R252:$AU266,$D263,5+VLOOKUP($B252,$B$351:$E$368,4,FALSE))</f>
        <v>7.9000000000000008E-3</v>
      </c>
      <c r="I263" s="203">
        <f>INDEX($R252:$AU266,$D263,6+VLOOKUP($B252,$B$351:$E$368,4,FALSE))</f>
        <v>20.68</v>
      </c>
      <c r="J263" s="203">
        <f>INDEX($R252:$AU266,$D263,9+VLOOKUP($B252,$B$351:$E$368,4,FALSE))</f>
        <v>8.0000000000000002E-3</v>
      </c>
      <c r="K263" s="203">
        <f>INDEX($R252:$AU266,$D263,10+VLOOKUP($B252,$B$351:$E$368,4,FALSE))</f>
        <v>22.15</v>
      </c>
      <c r="L263" s="203">
        <f>INDEX($R252:$AU266,$D263,13+VLOOKUP($B252,$B$351:$E$368,4,FALSE))</f>
        <v>8.6E-3</v>
      </c>
      <c r="M263" s="203">
        <f>INDEX($R252:$AU266,$D263,14+VLOOKUP($B252,$B$351:$E$368,4,FALSE))</f>
        <v>25.05</v>
      </c>
      <c r="O263" s="215">
        <v>15</v>
      </c>
      <c r="P263" s="211">
        <v>36</v>
      </c>
      <c r="Q263" s="212">
        <v>42.5</v>
      </c>
      <c r="R263" s="203">
        <f>ROUND((Q263-P263)/(Q251-P251),4)</f>
        <v>4.5999999999999999E-3</v>
      </c>
      <c r="S263" s="217">
        <f>ROUND(P263-P251*R263,2)</f>
        <v>16.22</v>
      </c>
      <c r="T263" s="211">
        <v>43.7</v>
      </c>
      <c r="U263" s="212">
        <v>51.7</v>
      </c>
      <c r="V263" s="203">
        <f>ROUND((U263-T263)/(U251-T251),4)</f>
        <v>5.7000000000000002E-3</v>
      </c>
      <c r="W263" s="217">
        <f>ROUND(T263-T251*V263,2)</f>
        <v>19.190000000000001</v>
      </c>
      <c r="X263" s="211">
        <v>44.7</v>
      </c>
      <c r="Y263" s="212">
        <v>52.8</v>
      </c>
      <c r="Z263" s="203">
        <f>ROUND((Y263-X263)/(Y251-X251),4)</f>
        <v>5.7999999999999996E-3</v>
      </c>
      <c r="AA263" s="217">
        <f>ROUND(X263-X251*Z263,2)</f>
        <v>19.760000000000002</v>
      </c>
      <c r="AB263" s="211">
        <v>47.8</v>
      </c>
      <c r="AC263" s="212">
        <v>56.2</v>
      </c>
      <c r="AD263" s="203">
        <f>ROUND((AC263-AB263)/(AC251-AB251),4)</f>
        <v>6.0000000000000001E-3</v>
      </c>
      <c r="AE263" s="217">
        <f>ROUND(AB263-AB251*AD263,2)</f>
        <v>22</v>
      </c>
      <c r="AF263" s="211">
        <v>49.4</v>
      </c>
      <c r="AG263" s="212">
        <v>59.5</v>
      </c>
      <c r="AH263" s="203">
        <f>ROUND((AG263-AF263)/(AG251-AF251),4)</f>
        <v>7.1999999999999998E-3</v>
      </c>
      <c r="AI263" s="217">
        <f>ROUND(AF263-AF251*AH263,2)</f>
        <v>18.440000000000001</v>
      </c>
      <c r="AJ263" s="211">
        <v>59.4</v>
      </c>
      <c r="AK263" s="212">
        <v>71.400000000000006</v>
      </c>
      <c r="AL263" s="203">
        <f>ROUND((AK263-AJ263)/(AK251-AJ251),4)</f>
        <v>8.6E-3</v>
      </c>
      <c r="AM263" s="217">
        <f>ROUND(AJ263-AJ251*AL263,2)</f>
        <v>22.42</v>
      </c>
      <c r="AN263" s="211">
        <v>61.3</v>
      </c>
      <c r="AO263" s="212">
        <v>73.5</v>
      </c>
      <c r="AP263" s="203">
        <f>ROUND((AO263-AN263)/(AO251-AN251),4)</f>
        <v>8.6999999999999994E-3</v>
      </c>
      <c r="AQ263" s="217">
        <f>ROUND(AN263-AN251*AP263,2)</f>
        <v>23.89</v>
      </c>
      <c r="AR263" s="211">
        <v>66.7</v>
      </c>
      <c r="AS263" s="212">
        <v>79.8</v>
      </c>
      <c r="AT263" s="203">
        <f>ROUND((AS263-AR263)/(AS251-AR251),4)</f>
        <v>9.4000000000000004E-3</v>
      </c>
      <c r="AU263" s="217">
        <f>ROUND(AR263-AR251*AT263,2)</f>
        <v>26.28</v>
      </c>
    </row>
    <row r="264" spans="1:47">
      <c r="D264" s="133">
        <v>14</v>
      </c>
      <c r="E264" s="133">
        <v>25</v>
      </c>
      <c r="F264" s="203">
        <f>INDEX($R252:$AU266,$D264,1+VLOOKUP($B252,$B$351:$E$368,4,FALSE))</f>
        <v>1.5900000000000001E-2</v>
      </c>
      <c r="G264" s="203">
        <f>INDEX($R252:$AU266,$D264,2+VLOOKUP($B252,$B$351:$E$368,4,FALSE))</f>
        <v>-42.55</v>
      </c>
      <c r="H264" s="203">
        <f>INDEX($R252:$AU266,$D264,5+VLOOKUP($B252,$B$351:$E$368,4,FALSE))</f>
        <v>7.1999999999999998E-3</v>
      </c>
      <c r="I264" s="203">
        <f>INDEX($R252:$AU266,$D264,6+VLOOKUP($B252,$B$351:$E$368,4,FALSE))</f>
        <v>18.95</v>
      </c>
      <c r="J264" s="203">
        <f>INDEX($R252:$AU266,$D264,9+VLOOKUP($B252,$B$351:$E$368,4,FALSE))</f>
        <v>7.3000000000000001E-3</v>
      </c>
      <c r="K264" s="203">
        <f>INDEX($R252:$AU266,$D264,10+VLOOKUP($B252,$B$351:$E$368,4,FALSE))</f>
        <v>20.41</v>
      </c>
      <c r="L264" s="203">
        <f>INDEX($R252:$AU266,$D264,13+VLOOKUP($B252,$B$351:$E$368,4,FALSE))</f>
        <v>7.9000000000000008E-3</v>
      </c>
      <c r="M264" s="203">
        <f>INDEX($R252:$AU266,$D264,14+VLOOKUP($B252,$B$351:$E$368,4,FALSE))</f>
        <v>23.28</v>
      </c>
      <c r="O264" s="215">
        <v>20</v>
      </c>
      <c r="P264" s="211">
        <v>32.379999999999903</v>
      </c>
      <c r="Q264" s="212">
        <v>38.1666666666667</v>
      </c>
      <c r="R264" s="203">
        <f>ROUND((Q264-P264)/(Q251-P251),4)</f>
        <v>4.1000000000000003E-3</v>
      </c>
      <c r="S264" s="217">
        <f>ROUND(P264-P251*R264,2)</f>
        <v>14.75</v>
      </c>
      <c r="T264" s="211">
        <v>40.073333333333302</v>
      </c>
      <c r="U264" s="212">
        <v>47.3333333333333</v>
      </c>
      <c r="V264" s="203">
        <f>ROUND((U264-T264)/(U251-T251),4)</f>
        <v>5.1999999999999998E-3</v>
      </c>
      <c r="W264" s="217">
        <f>ROUND(T264-T251*V264,2)</f>
        <v>17.71</v>
      </c>
      <c r="X264" s="211">
        <v>41.066666666666698</v>
      </c>
      <c r="Y264" s="212">
        <v>48.453333333333298</v>
      </c>
      <c r="Z264" s="203">
        <f>ROUND((Y264-X264)/(Y251-X251),4)</f>
        <v>5.3E-3</v>
      </c>
      <c r="AA264" s="217">
        <f>ROUND(X264-X251*Z264,2)</f>
        <v>18.28</v>
      </c>
      <c r="AB264" s="211">
        <v>44.133333333333297</v>
      </c>
      <c r="AC264" s="212">
        <v>51.786666666666598</v>
      </c>
      <c r="AD264" s="203">
        <f>ROUND((AC264-AB264)/(AC251-AB251),4)</f>
        <v>5.4999999999999997E-3</v>
      </c>
      <c r="AE264" s="217">
        <f>ROUND(AB264-AB251*AD264,2)</f>
        <v>20.48</v>
      </c>
      <c r="AF264" s="212">
        <v>31.746666666666702</v>
      </c>
      <c r="AG264" s="212">
        <v>53.813333333333297</v>
      </c>
      <c r="AH264" s="203">
        <f>ROUND((AG264-AF264)/(AG251-AF251),4)</f>
        <v>1.5800000000000002E-2</v>
      </c>
      <c r="AI264" s="217">
        <f>ROUND(AF264-AF251*AH264,2)</f>
        <v>-36.19</v>
      </c>
      <c r="AJ264" s="211">
        <v>54.646666666666597</v>
      </c>
      <c r="AK264" s="212">
        <v>65.688888888888897</v>
      </c>
      <c r="AL264" s="203">
        <f>ROUND((AK264-AJ264)/(AK251-AJ251),4)</f>
        <v>7.9000000000000008E-3</v>
      </c>
      <c r="AM264" s="217">
        <f>ROUND(AJ264-AJ251*AL264,2)</f>
        <v>20.68</v>
      </c>
      <c r="AN264" s="211">
        <v>56.546666666666702</v>
      </c>
      <c r="AO264" s="212">
        <v>67.786666666666605</v>
      </c>
      <c r="AP264" s="203">
        <f>ROUND((AO264-AN264)/(AO251-AN251),4)</f>
        <v>8.0000000000000002E-3</v>
      </c>
      <c r="AQ264" s="217">
        <f>ROUND(AN264-AN251*AP264,2)</f>
        <v>22.15</v>
      </c>
      <c r="AR264" s="211">
        <v>62.033333333333402</v>
      </c>
      <c r="AS264" s="212">
        <v>74.099999999999994</v>
      </c>
      <c r="AT264" s="203">
        <f>ROUND((AS264-AR264)/(AS251-AR251),4)</f>
        <v>8.6E-3</v>
      </c>
      <c r="AU264" s="217">
        <f>ROUND(AR264-AR251*AT264,2)</f>
        <v>25.05</v>
      </c>
    </row>
    <row r="265" spans="1:47">
      <c r="D265" s="133">
        <v>15</v>
      </c>
      <c r="E265" s="133">
        <v>30</v>
      </c>
      <c r="F265" s="203">
        <f>INDEX($R252:$AU266,$D265,1+VLOOKUP($B252,$B$351:$E$368,4,FALSE))</f>
        <v>1.61E-2</v>
      </c>
      <c r="G265" s="203">
        <f>INDEX($R252:$AU266,$D265,2+VLOOKUP($B252,$B$351:$E$368,4,FALSE))</f>
        <v>-49.33</v>
      </c>
      <c r="H265" s="203">
        <f>INDEX($R252:$AU266,$D265,5+VLOOKUP($B252,$B$351:$E$368,4,FALSE))</f>
        <v>6.4999999999999997E-3</v>
      </c>
      <c r="I265" s="203">
        <f>INDEX($R252:$AU266,$D265,6+VLOOKUP($B252,$B$351:$E$368,4,FALSE))</f>
        <v>17.22</v>
      </c>
      <c r="J265" s="203">
        <f>INDEX($R252:$AU266,$D265,9+VLOOKUP($B252,$B$351:$E$368,4,FALSE))</f>
        <v>6.6E-3</v>
      </c>
      <c r="K265" s="203">
        <f>INDEX($R252:$AU266,$D265,10+VLOOKUP($B252,$B$351:$E$368,4,FALSE))</f>
        <v>18.68</v>
      </c>
      <c r="L265" s="203">
        <f>INDEX($R252:$AU266,$D265,13+VLOOKUP($B252,$B$351:$E$368,4,FALSE))</f>
        <v>7.1999999999999998E-3</v>
      </c>
      <c r="M265" s="203">
        <f>INDEX($R252:$AU266,$D265,14+VLOOKUP($B252,$B$351:$E$368,4,FALSE))</f>
        <v>21.51</v>
      </c>
      <c r="O265" s="215">
        <v>25</v>
      </c>
      <c r="P265" s="211">
        <v>28.734545454545401</v>
      </c>
      <c r="Q265" s="212">
        <v>33.822424242424198</v>
      </c>
      <c r="R265" s="203">
        <f>ROUND((Q265-P265)/(Q251-P251),4)</f>
        <v>3.5999999999999999E-3</v>
      </c>
      <c r="S265" s="217">
        <f>ROUND(P265-P251*R265,2)</f>
        <v>13.25</v>
      </c>
      <c r="T265" s="211">
        <v>36.424848484848503</v>
      </c>
      <c r="U265" s="212">
        <v>42.984848484848499</v>
      </c>
      <c r="V265" s="203">
        <f>ROUND((U265-T265)/(U251-T251),4)</f>
        <v>4.7000000000000002E-3</v>
      </c>
      <c r="W265" s="217">
        <f>ROUND(T265-T251*V265,2)</f>
        <v>16.21</v>
      </c>
      <c r="X265" s="211">
        <v>37.413333333333298</v>
      </c>
      <c r="Y265" s="212">
        <v>44.106666666666698</v>
      </c>
      <c r="Z265" s="203">
        <f>ROUND((Y265-X265)/(Y251-X251),4)</f>
        <v>4.7999999999999996E-3</v>
      </c>
      <c r="AA265" s="217">
        <f>ROUND(X265-X251*Z265,2)</f>
        <v>16.77</v>
      </c>
      <c r="AB265" s="211">
        <v>40.463030303030301</v>
      </c>
      <c r="AC265" s="212">
        <v>47.409696969697002</v>
      </c>
      <c r="AD265" s="203">
        <f>ROUND((AC265-AB265)/(AC251-AB251),4)</f>
        <v>5.0000000000000001E-3</v>
      </c>
      <c r="AE265" s="217">
        <f>ROUND(AB265-AB251*AD265,2)</f>
        <v>18.96</v>
      </c>
      <c r="AF265" s="212">
        <v>25.822424242424201</v>
      </c>
      <c r="AG265" s="212">
        <v>48.095757575757602</v>
      </c>
      <c r="AH265" s="203">
        <f>ROUND((AG265-AF265)/(AG251-AF251),4)</f>
        <v>1.5900000000000001E-2</v>
      </c>
      <c r="AI265" s="217">
        <f>ROUND(AF265-AF251*AH265,2)</f>
        <v>-42.55</v>
      </c>
      <c r="AJ265" s="211">
        <v>49.909696969696903</v>
      </c>
      <c r="AK265" s="212">
        <v>59.948888888888902</v>
      </c>
      <c r="AL265" s="203">
        <f>ROUND((AK265-AJ265)/(AK251-AJ251),4)</f>
        <v>7.1999999999999998E-3</v>
      </c>
      <c r="AM265" s="217">
        <f>ROUND(AJ265-AJ251*AL265,2)</f>
        <v>18.95</v>
      </c>
      <c r="AN265" s="211">
        <v>51.804242424242403</v>
      </c>
      <c r="AO265" s="212">
        <v>62.031515151515102</v>
      </c>
      <c r="AP265" s="203">
        <f>ROUND((AO265-AN265)/(AO251-AN251),4)</f>
        <v>7.3000000000000001E-3</v>
      </c>
      <c r="AQ265" s="217">
        <f>ROUND(AN265-AN251*AP265,2)</f>
        <v>20.41</v>
      </c>
      <c r="AR265" s="211">
        <v>57.250303030303101</v>
      </c>
      <c r="AS265" s="212">
        <v>68.292727272727305</v>
      </c>
      <c r="AT265" s="203">
        <f>ROUND((AS265-AR265)/(AS251-AR251),4)</f>
        <v>7.9000000000000008E-3</v>
      </c>
      <c r="AU265" s="217">
        <f>ROUND(AR265-AR251*AT265,2)</f>
        <v>23.28</v>
      </c>
    </row>
    <row r="266" spans="1:47" ht="15" thickBot="1">
      <c r="O266" s="216">
        <v>30</v>
      </c>
      <c r="P266" s="226">
        <v>25.089090909090899</v>
      </c>
      <c r="Q266" s="227">
        <v>29.478181818181799</v>
      </c>
      <c r="R266" s="228">
        <f>ROUND((Q266-P266)/(Q251-P251),4)</f>
        <v>3.0999999999999999E-3</v>
      </c>
      <c r="S266" s="229">
        <f>ROUND(P266-P251*R266,2)</f>
        <v>11.76</v>
      </c>
      <c r="T266" s="226">
        <v>32.776363636363598</v>
      </c>
      <c r="U266" s="227">
        <v>38.636363636363598</v>
      </c>
      <c r="V266" s="228">
        <f>ROUND((U266-T266)/(U251-T251),4)</f>
        <v>4.1999999999999997E-3</v>
      </c>
      <c r="W266" s="229">
        <f>ROUND(T266-T251*V266,2)</f>
        <v>14.72</v>
      </c>
      <c r="X266" s="226">
        <v>33.76</v>
      </c>
      <c r="Y266" s="227">
        <v>39.76</v>
      </c>
      <c r="Z266" s="228">
        <f>ROUND((Y266-X266)/(Y251-X251),4)</f>
        <v>4.3E-3</v>
      </c>
      <c r="AA266" s="229">
        <f>ROUND(X266-X251*Z266,2)</f>
        <v>15.27</v>
      </c>
      <c r="AB266" s="226">
        <v>36.792727272727198</v>
      </c>
      <c r="AC266" s="227">
        <v>43.0327272727273</v>
      </c>
      <c r="AD266" s="228">
        <f>ROUND((AC266-AB266)/(AC251-AB251),4)</f>
        <v>4.4999999999999997E-3</v>
      </c>
      <c r="AE266" s="229">
        <f>ROUND(AB266-AB251*AD266,2)</f>
        <v>17.440000000000001</v>
      </c>
      <c r="AF266" s="227">
        <v>19.898181818181801</v>
      </c>
      <c r="AG266" s="227">
        <v>42.378181818181801</v>
      </c>
      <c r="AH266" s="228">
        <f>ROUND((AG266-AF266)/(AG251-AF251),4)</f>
        <v>1.61E-2</v>
      </c>
      <c r="AI266" s="229">
        <f>ROUND(AF266-AF251*AH266,2)</f>
        <v>-49.33</v>
      </c>
      <c r="AJ266" s="226">
        <v>45.172727272727201</v>
      </c>
      <c r="AK266" s="227">
        <v>54.2088888888889</v>
      </c>
      <c r="AL266" s="228">
        <f>ROUND((AK266-AJ266)/(AK251-AJ251),4)</f>
        <v>6.4999999999999997E-3</v>
      </c>
      <c r="AM266" s="229">
        <f>ROUND(AJ266-AJ251*AL266,2)</f>
        <v>17.22</v>
      </c>
      <c r="AN266" s="226">
        <v>47.061818181818197</v>
      </c>
      <c r="AO266" s="227">
        <v>56.276363636363598</v>
      </c>
      <c r="AP266" s="228">
        <f>ROUND((AO266-AN266)/(AO251-AN251),4)</f>
        <v>6.6E-3</v>
      </c>
      <c r="AQ266" s="229">
        <f>ROUND(AN266-AN251*AP266,2)</f>
        <v>18.68</v>
      </c>
      <c r="AR266" s="226">
        <v>52.4672727272728</v>
      </c>
      <c r="AS266" s="227">
        <v>62.485454545454601</v>
      </c>
      <c r="AT266" s="228">
        <f>ROUND((AS266-AR266)/(AS251-AR251),4)</f>
        <v>7.1999999999999998E-3</v>
      </c>
      <c r="AU266" s="229">
        <f>ROUND(AR266-AR251*AT266,2)</f>
        <v>21.51</v>
      </c>
    </row>
    <row r="267" spans="1:47" ht="15" thickBot="1">
      <c r="O267" s="224"/>
      <c r="P267" s="225"/>
      <c r="Q267" s="225"/>
      <c r="R267" s="225"/>
      <c r="S267" s="225"/>
      <c r="T267" s="225"/>
      <c r="U267" s="225"/>
      <c r="V267" s="225"/>
      <c r="W267" s="225"/>
      <c r="X267" s="225"/>
      <c r="Y267" s="225"/>
      <c r="Z267" s="225"/>
      <c r="AA267" s="225"/>
      <c r="AB267" s="225"/>
      <c r="AC267" s="225"/>
      <c r="AD267" s="225"/>
      <c r="AE267" s="225"/>
      <c r="AF267" s="225"/>
      <c r="AG267" s="225"/>
      <c r="AH267" s="225"/>
      <c r="AI267" s="225"/>
      <c r="AJ267" s="225"/>
      <c r="AK267" s="225"/>
      <c r="AL267" s="225"/>
      <c r="AM267" s="225"/>
      <c r="AN267" s="225"/>
      <c r="AO267" s="225"/>
      <c r="AP267" s="225"/>
      <c r="AQ267" s="225"/>
      <c r="AR267" s="225"/>
      <c r="AS267" s="225"/>
      <c r="AT267" s="225"/>
      <c r="AU267" s="225"/>
    </row>
    <row r="268" spans="1:47" ht="15" thickBot="1">
      <c r="E268" s="163"/>
      <c r="F268" s="596" t="s">
        <v>244</v>
      </c>
      <c r="G268" s="597"/>
      <c r="H268" s="597" t="s">
        <v>245</v>
      </c>
      <c r="I268" s="597"/>
      <c r="J268" s="597" t="s">
        <v>246</v>
      </c>
      <c r="K268" s="597"/>
      <c r="L268" s="597" t="s">
        <v>247</v>
      </c>
      <c r="M268" s="598"/>
      <c r="O268" s="204" t="s">
        <v>258</v>
      </c>
      <c r="P268" s="590" t="s">
        <v>296</v>
      </c>
      <c r="Q268" s="591"/>
      <c r="R268" s="591"/>
      <c r="S268" s="591"/>
      <c r="T268" s="591"/>
      <c r="U268" s="591"/>
      <c r="V268" s="591"/>
      <c r="W268" s="591"/>
      <c r="X268" s="591"/>
      <c r="Y268" s="591"/>
      <c r="Z268" s="591"/>
      <c r="AA268" s="591"/>
      <c r="AB268" s="591"/>
      <c r="AC268" s="591"/>
      <c r="AD268" s="591"/>
      <c r="AE268" s="592"/>
      <c r="AF268" s="590" t="s">
        <v>297</v>
      </c>
      <c r="AG268" s="591"/>
      <c r="AH268" s="591"/>
      <c r="AI268" s="591"/>
      <c r="AJ268" s="591"/>
      <c r="AK268" s="591"/>
      <c r="AL268" s="591"/>
      <c r="AM268" s="591"/>
      <c r="AN268" s="591"/>
      <c r="AO268" s="591"/>
      <c r="AP268" s="591"/>
      <c r="AQ268" s="591"/>
      <c r="AR268" s="591"/>
      <c r="AS268" s="591"/>
      <c r="AT268" s="591"/>
      <c r="AU268" s="592"/>
    </row>
    <row r="269" spans="1:47" ht="15" thickBot="1">
      <c r="E269" s="163"/>
      <c r="F269" s="221" t="s">
        <v>66</v>
      </c>
      <c r="G269" s="222" t="s">
        <v>249</v>
      </c>
      <c r="H269" s="222" t="s">
        <v>66</v>
      </c>
      <c r="I269" s="222" t="s">
        <v>249</v>
      </c>
      <c r="J269" s="222" t="s">
        <v>66</v>
      </c>
      <c r="K269" s="222" t="s">
        <v>249</v>
      </c>
      <c r="L269" s="222" t="s">
        <v>66</v>
      </c>
      <c r="M269" s="223" t="s">
        <v>249</v>
      </c>
      <c r="O269" s="205" t="s">
        <v>251</v>
      </c>
      <c r="P269" s="593" t="s">
        <v>276</v>
      </c>
      <c r="Q269" s="594"/>
      <c r="R269" s="594"/>
      <c r="S269" s="595"/>
      <c r="T269" s="593" t="s">
        <v>277</v>
      </c>
      <c r="U269" s="594"/>
      <c r="V269" s="594"/>
      <c r="W269" s="595"/>
      <c r="X269" s="593" t="s">
        <v>278</v>
      </c>
      <c r="Y269" s="594"/>
      <c r="Z269" s="594"/>
      <c r="AA269" s="595"/>
      <c r="AB269" s="593" t="s">
        <v>279</v>
      </c>
      <c r="AC269" s="594"/>
      <c r="AD269" s="594"/>
      <c r="AE269" s="595"/>
      <c r="AF269" s="593" t="s">
        <v>276</v>
      </c>
      <c r="AG269" s="594"/>
      <c r="AH269" s="594"/>
      <c r="AI269" s="595"/>
      <c r="AJ269" s="593" t="s">
        <v>277</v>
      </c>
      <c r="AK269" s="594"/>
      <c r="AL269" s="594"/>
      <c r="AM269" s="595"/>
      <c r="AN269" s="593" t="s">
        <v>278</v>
      </c>
      <c r="AO269" s="594"/>
      <c r="AP269" s="594"/>
      <c r="AQ269" s="595"/>
      <c r="AR269" s="593" t="s">
        <v>279</v>
      </c>
      <c r="AS269" s="594"/>
      <c r="AT269" s="594"/>
      <c r="AU269" s="595"/>
    </row>
    <row r="270" spans="1:47" ht="15" thickBot="1">
      <c r="A270" t="s">
        <v>248</v>
      </c>
      <c r="B270" s="163" t="e">
        <f>Задача_Расход</f>
        <v>#REF!</v>
      </c>
      <c r="D270" s="133">
        <v>1</v>
      </c>
      <c r="E270" s="133">
        <v>-40</v>
      </c>
      <c r="F270" s="220">
        <f>INDEX($R271:$AU285,$D270,1+VLOOKUP($B271,$B$351:$E$368,4,FALSE))</f>
        <v>1.0200000000000001E-2</v>
      </c>
      <c r="G270" s="220">
        <f>INDEX($R271:$AU285,$D270,2+VLOOKUP($B271,$B$351:$E$368,4,FALSE))</f>
        <v>36.89</v>
      </c>
      <c r="H270" s="220">
        <f>INDEX($R271:$AU285,$D270,5+VLOOKUP($B271,$B$351:$E$368,4,FALSE))</f>
        <v>1.1299999999999999E-2</v>
      </c>
      <c r="I270" s="220">
        <f>INDEX($R271:$AU285,$D270,6+VLOOKUP($B271,$B$351:$E$368,4,FALSE))</f>
        <v>40.25</v>
      </c>
      <c r="J270" s="220">
        <f>INDEX($R271:$AU285,$D270,9+VLOOKUP($B271,$B$351:$E$368,4,FALSE))</f>
        <v>1.12E-2</v>
      </c>
      <c r="K270" s="220">
        <f>INDEX($R271:$AU285,$D270,10+VLOOKUP($B271,$B$351:$E$368,4,FALSE))</f>
        <v>42.04</v>
      </c>
      <c r="L270" s="220">
        <f>INDEX($R271:$AU285,$D270,13+VLOOKUP($B271,$B$351:$E$368,4,FALSE))</f>
        <v>1.18E-2</v>
      </c>
      <c r="M270" s="220">
        <f>INDEX($R271:$AU285,$D270,14+VLOOKUP($B271,$B$351:$E$368,4,FALSE))</f>
        <v>43.09</v>
      </c>
      <c r="O270" s="206" t="s">
        <v>248</v>
      </c>
      <c r="P270" s="207">
        <v>4800</v>
      </c>
      <c r="Q270" s="208">
        <v>6500</v>
      </c>
      <c r="R270" s="208"/>
      <c r="S270" s="209"/>
      <c r="T270" s="207">
        <v>4800</v>
      </c>
      <c r="U270" s="208">
        <v>6500</v>
      </c>
      <c r="V270" s="208"/>
      <c r="W270" s="209"/>
      <c r="X270" s="207">
        <v>4800</v>
      </c>
      <c r="Y270" s="208">
        <v>6500</v>
      </c>
      <c r="Z270" s="208"/>
      <c r="AA270" s="209"/>
      <c r="AB270" s="207">
        <v>4800</v>
      </c>
      <c r="AC270" s="208">
        <v>6500</v>
      </c>
      <c r="AD270" s="208"/>
      <c r="AE270" s="209"/>
      <c r="AF270" s="207">
        <v>4800</v>
      </c>
      <c r="AG270" s="208">
        <v>6500</v>
      </c>
      <c r="AH270" s="208"/>
      <c r="AI270" s="209"/>
      <c r="AJ270" s="207">
        <v>4800</v>
      </c>
      <c r="AK270" s="208">
        <v>6500</v>
      </c>
      <c r="AL270" s="208"/>
      <c r="AM270" s="209"/>
      <c r="AN270" s="207">
        <v>4800</v>
      </c>
      <c r="AO270" s="208">
        <v>6500</v>
      </c>
      <c r="AP270" s="208"/>
      <c r="AQ270" s="209"/>
      <c r="AR270" s="207">
        <v>4800</v>
      </c>
      <c r="AS270" s="208">
        <v>6500</v>
      </c>
      <c r="AT270" s="208"/>
      <c r="AU270" s="209"/>
    </row>
    <row r="271" spans="1:47">
      <c r="A271" t="s">
        <v>250</v>
      </c>
      <c r="B271" s="163" t="s">
        <v>280</v>
      </c>
      <c r="D271" s="133">
        <v>2</v>
      </c>
      <c r="E271" s="133">
        <v>-35</v>
      </c>
      <c r="F271" s="203">
        <f>INDEX($R271:$AU285,$D271,1+VLOOKUP($B271,$B$351:$E$368,4,FALSE))</f>
        <v>9.7000000000000003E-3</v>
      </c>
      <c r="G271" s="203">
        <f>INDEX($R271:$AU285,$D271,2+VLOOKUP($B271,$B$351:$E$368,4,FALSE))</f>
        <v>35.21</v>
      </c>
      <c r="H271" s="203">
        <f>INDEX($R271:$AU285,$D271,5+VLOOKUP($B271,$B$351:$E$368,4,FALSE))</f>
        <v>1.0800000000000001E-2</v>
      </c>
      <c r="I271" s="203">
        <f>INDEX($R271:$AU285,$D271,6+VLOOKUP($B271,$B$351:$E$368,4,FALSE))</f>
        <v>38.56</v>
      </c>
      <c r="J271" s="203">
        <f>INDEX($R271:$AU285,$D271,9+VLOOKUP($B271,$B$351:$E$368,4,FALSE))</f>
        <v>1.0699999999999999E-2</v>
      </c>
      <c r="K271" s="203">
        <f>INDEX($R271:$AU285,$D271,10+VLOOKUP($B271,$B$351:$E$368,4,FALSE))</f>
        <v>40.340000000000003</v>
      </c>
      <c r="L271" s="203">
        <f>INDEX($R271:$AU285,$D271,13+VLOOKUP($B271,$B$351:$E$368,4,FALSE))</f>
        <v>1.1299999999999999E-2</v>
      </c>
      <c r="M271" s="203">
        <f>INDEX($R271:$AU285,$D271,14+VLOOKUP($B271,$B$351:$E$368,4,FALSE))</f>
        <v>41.37</v>
      </c>
      <c r="O271" s="210">
        <v>-40</v>
      </c>
      <c r="P271" s="211">
        <v>85.851515151515102</v>
      </c>
      <c r="Q271" s="212">
        <v>103.174545454545</v>
      </c>
      <c r="R271" s="203">
        <f>ROUND((Q271-P271)/(Q270-P270),4)</f>
        <v>1.0200000000000001E-2</v>
      </c>
      <c r="S271" s="217">
        <f>ROUND(P271-P270*R271,2)</f>
        <v>36.89</v>
      </c>
      <c r="T271" s="211">
        <v>94.487272727272696</v>
      </c>
      <c r="U271" s="212">
        <v>113.740606060606</v>
      </c>
      <c r="V271" s="203">
        <f>ROUND((U271-T271)/(U270-T270),4)</f>
        <v>1.1299999999999999E-2</v>
      </c>
      <c r="W271" s="217">
        <f>ROUND(T271-T270*V271,2)</f>
        <v>40.25</v>
      </c>
      <c r="X271" s="211">
        <v>95.8</v>
      </c>
      <c r="Y271" s="212">
        <v>114.90666666666699</v>
      </c>
      <c r="Z271" s="203">
        <f>ROUND((Y271-X271)/(Y270-X270),4)</f>
        <v>1.12E-2</v>
      </c>
      <c r="AA271" s="217">
        <f>ROUND(X271-X270*Z271,2)</f>
        <v>42.04</v>
      </c>
      <c r="AB271" s="211">
        <v>99.733939393939394</v>
      </c>
      <c r="AC271" s="212">
        <v>119.864848484848</v>
      </c>
      <c r="AD271" s="203">
        <f>ROUND((AC271-AB271)/(AC270-AB270),4)</f>
        <v>1.18E-2</v>
      </c>
      <c r="AE271" s="217">
        <f>ROUND(AB271-AB270*AD271,2)</f>
        <v>43.09</v>
      </c>
      <c r="AF271" s="211">
        <v>114.424242424242</v>
      </c>
      <c r="AG271" s="212">
        <v>139.79277777777801</v>
      </c>
      <c r="AH271" s="203">
        <f>ROUND((AG271-AF271)/(AG270-AF270),4)</f>
        <v>1.49E-2</v>
      </c>
      <c r="AI271" s="217">
        <f>ROUND(AF271-AF270*AH271,2)</f>
        <v>42.9</v>
      </c>
      <c r="AJ271" s="211">
        <v>124.89393939393899</v>
      </c>
      <c r="AK271" s="212">
        <v>152.27757575757599</v>
      </c>
      <c r="AL271" s="203">
        <f>ROUND((AK271-AJ271)/(AK270-AJ270),4)</f>
        <v>1.61E-2</v>
      </c>
      <c r="AM271" s="217">
        <f>ROUND(AJ271-AJ270*AL271,2)</f>
        <v>47.61</v>
      </c>
      <c r="AN271" s="211">
        <v>127.62060606060599</v>
      </c>
      <c r="AO271" s="212">
        <v>155.821212121212</v>
      </c>
      <c r="AP271" s="203">
        <f>ROUND((AO271-AN271)/(AO270-AN270),4)</f>
        <v>1.66E-2</v>
      </c>
      <c r="AQ271" s="217">
        <f>ROUND(AN271-AN270*AP271,2)</f>
        <v>47.94</v>
      </c>
      <c r="AR271" s="211">
        <v>134.91515151515199</v>
      </c>
      <c r="AS271" s="212">
        <v>164.07333333333301</v>
      </c>
      <c r="AT271" s="203">
        <f>ROUND((AS271-AR271)/(AS270-AR270),4)</f>
        <v>1.72E-2</v>
      </c>
      <c r="AU271" s="217">
        <f>ROUND(AR271-AR270*AT271,2)</f>
        <v>52.36</v>
      </c>
    </row>
    <row r="272" spans="1:47">
      <c r="A272" t="s">
        <v>251</v>
      </c>
      <c r="B272" s="163" t="e">
        <f>Задача_НагревательТеплоноситель</f>
        <v>#REF!</v>
      </c>
      <c r="D272" s="133">
        <v>3</v>
      </c>
      <c r="E272" s="133">
        <v>-30</v>
      </c>
      <c r="F272" s="203">
        <f>INDEX($R271:$AU285,$D272,1+VLOOKUP($B271,$B$351:$E$368,4,FALSE))</f>
        <v>9.1999999999999998E-3</v>
      </c>
      <c r="G272" s="203">
        <f>INDEX($R271:$AU285,$D272,2+VLOOKUP($B271,$B$351:$E$368,4,FALSE))</f>
        <v>33.54</v>
      </c>
      <c r="H272" s="203">
        <f>INDEX($R271:$AU285,$D272,5+VLOOKUP($B271,$B$351:$E$368,4,FALSE))</f>
        <v>1.04E-2</v>
      </c>
      <c r="I272" s="203">
        <f>INDEX($R271:$AU285,$D272,6+VLOOKUP($B271,$B$351:$E$368,4,FALSE))</f>
        <v>36.380000000000003</v>
      </c>
      <c r="J272" s="203">
        <f>INDEX($R271:$AU285,$D272,9+VLOOKUP($B271,$B$351:$E$368,4,FALSE))</f>
        <v>1.0200000000000001E-2</v>
      </c>
      <c r="K272" s="203">
        <f>INDEX($R271:$AU285,$D272,10+VLOOKUP($B271,$B$351:$E$368,4,FALSE))</f>
        <v>38.64</v>
      </c>
      <c r="L272" s="203">
        <f>INDEX($R271:$AU285,$D272,13+VLOOKUP($B271,$B$351:$E$368,4,FALSE))</f>
        <v>1.09E-2</v>
      </c>
      <c r="M272" s="203">
        <f>INDEX($R271:$AU285,$D272,14+VLOOKUP($B271,$B$351:$E$368,4,FALSE))</f>
        <v>39.08</v>
      </c>
      <c r="O272" s="215">
        <v>-35</v>
      </c>
      <c r="P272" s="211">
        <v>81.766666666666694</v>
      </c>
      <c r="Q272" s="212">
        <v>98.24</v>
      </c>
      <c r="R272" s="203">
        <f>ROUND((Q272-P272)/(Q270-P270),4)</f>
        <v>9.7000000000000003E-3</v>
      </c>
      <c r="S272" s="217">
        <f>ROUND(P272-P270*R272,2)</f>
        <v>35.21</v>
      </c>
      <c r="T272" s="211">
        <v>90.4</v>
      </c>
      <c r="U272" s="212">
        <v>108.786666666667</v>
      </c>
      <c r="V272" s="203">
        <f>ROUND((U272-T272)/(U270-T270),4)</f>
        <v>1.0800000000000001E-2</v>
      </c>
      <c r="W272" s="217">
        <f>ROUND(T272-T270*V272,2)</f>
        <v>38.56</v>
      </c>
      <c r="X272" s="211">
        <v>91.7</v>
      </c>
      <c r="Y272" s="212">
        <v>109.973333333333</v>
      </c>
      <c r="Z272" s="203">
        <f>ROUND((Y272-X272)/(Y270-X270),4)</f>
        <v>1.0699999999999999E-2</v>
      </c>
      <c r="AA272" s="217">
        <f>ROUND(X272-X270*Z272,2)</f>
        <v>40.340000000000003</v>
      </c>
      <c r="AB272" s="211">
        <v>95.613333333333301</v>
      </c>
      <c r="AC272" s="212">
        <v>114.853333333333</v>
      </c>
      <c r="AD272" s="203">
        <f>ROUND((AC272-AB272)/(AC270-AB270),4)</f>
        <v>1.1299999999999999E-2</v>
      </c>
      <c r="AE272" s="217">
        <f>ROUND(AB272-AB270*AD272,2)</f>
        <v>41.37</v>
      </c>
      <c r="AF272" s="211">
        <v>109.106666666667</v>
      </c>
      <c r="AG272" s="212">
        <v>133.28111111111099</v>
      </c>
      <c r="AH272" s="203">
        <f>ROUND((AG272-AF272)/(AG270-AF270),4)</f>
        <v>1.4200000000000001E-2</v>
      </c>
      <c r="AI272" s="217">
        <f>ROUND(AF272-AF270*AH272,2)</f>
        <v>40.950000000000003</v>
      </c>
      <c r="AJ272" s="211">
        <v>119.633333333333</v>
      </c>
      <c r="AK272" s="212">
        <v>145.87333333333299</v>
      </c>
      <c r="AL272" s="203">
        <f>ROUND((AK272-AJ272)/(AK270-AJ270),4)</f>
        <v>1.54E-2</v>
      </c>
      <c r="AM272" s="217">
        <f>ROUND(AJ272-AJ270*AL272,2)</f>
        <v>45.71</v>
      </c>
      <c r="AN272" s="211">
        <v>122.306666666667</v>
      </c>
      <c r="AO272" s="212">
        <v>149.31333333333299</v>
      </c>
      <c r="AP272" s="203">
        <f>ROUND((AO272-AN272)/(AO270-AN270),4)</f>
        <v>1.5900000000000001E-2</v>
      </c>
      <c r="AQ272" s="217">
        <f>ROUND(AN272-AN270*AP272,2)</f>
        <v>45.99</v>
      </c>
      <c r="AR272" s="211">
        <v>129.52666666666701</v>
      </c>
      <c r="AS272" s="212">
        <v>157.506666666667</v>
      </c>
      <c r="AT272" s="203">
        <f>ROUND((AS272-AR272)/(AS270-AR270),4)</f>
        <v>1.6500000000000001E-2</v>
      </c>
      <c r="AU272" s="217">
        <f>ROUND(AR272-AR270*AT272,2)</f>
        <v>50.33</v>
      </c>
    </row>
    <row r="273" spans="1:47">
      <c r="A273" t="s">
        <v>253</v>
      </c>
      <c r="B273" s="163" t="e">
        <f>VLOOKUP("900x500",ПП_Расчет!C$10:F$19,4,0)</f>
        <v>#REF!</v>
      </c>
      <c r="D273" s="133">
        <v>4</v>
      </c>
      <c r="E273" s="133">
        <v>-25</v>
      </c>
      <c r="F273" s="203">
        <f>INDEX($R271:$AU285,$D273,1+VLOOKUP($B271,$B$351:$E$368,4,FALSE))</f>
        <v>8.6999999999999994E-3</v>
      </c>
      <c r="G273" s="203">
        <f>INDEX($R271:$AU285,$D273,2+VLOOKUP($B271,$B$351:$E$368,4,FALSE))</f>
        <v>31.84</v>
      </c>
      <c r="H273" s="203">
        <f>INDEX($R271:$AU285,$D273,5+VLOOKUP($B271,$B$351:$E$368,4,FALSE))</f>
        <v>9.7999999999999997E-3</v>
      </c>
      <c r="I273" s="203">
        <f>INDEX($R271:$AU285,$D273,6+VLOOKUP($B271,$B$351:$E$368,4,FALSE))</f>
        <v>35.159999999999997</v>
      </c>
      <c r="J273" s="203">
        <f>INDEX($R271:$AU285,$D273,9+VLOOKUP($B271,$B$351:$E$368,4,FALSE))</f>
        <v>9.7000000000000003E-3</v>
      </c>
      <c r="K273" s="203">
        <f>INDEX($R271:$AU285,$D273,10+VLOOKUP($B271,$B$351:$E$368,4,FALSE))</f>
        <v>36.94</v>
      </c>
      <c r="L273" s="203">
        <f>INDEX($R271:$AU285,$D273,13+VLOOKUP($B271,$B$351:$E$368,4,FALSE))</f>
        <v>1.04E-2</v>
      </c>
      <c r="M273" s="203">
        <f>INDEX($R271:$AU285,$D273,14+VLOOKUP($B271,$B$351:$E$368,4,FALSE))</f>
        <v>37.479999999999997</v>
      </c>
      <c r="O273" s="215">
        <v>-30</v>
      </c>
      <c r="P273" s="211">
        <v>77.7</v>
      </c>
      <c r="Q273" s="212">
        <v>93.3</v>
      </c>
      <c r="R273" s="203">
        <f>ROUND((Q273-P273)/(Q270-P270),4)</f>
        <v>9.1999999999999998E-3</v>
      </c>
      <c r="S273" s="217">
        <f>ROUND(P273-P270*R273,2)</f>
        <v>33.54</v>
      </c>
      <c r="T273" s="211">
        <v>86.3</v>
      </c>
      <c r="U273" s="212">
        <v>104</v>
      </c>
      <c r="V273" s="203">
        <f>ROUND((U273-T273)/(U270-T270),4)</f>
        <v>1.04E-2</v>
      </c>
      <c r="W273" s="217">
        <f>ROUND(T273-T270*V273,2)</f>
        <v>36.380000000000003</v>
      </c>
      <c r="X273" s="211">
        <v>87.6</v>
      </c>
      <c r="Y273" s="212">
        <v>105</v>
      </c>
      <c r="Z273" s="203">
        <f>ROUND((Y273-X273)/(Y270-X270),4)</f>
        <v>1.0200000000000001E-2</v>
      </c>
      <c r="AA273" s="217">
        <f>ROUND(X273-X270*Z273,2)</f>
        <v>38.64</v>
      </c>
      <c r="AB273" s="211">
        <v>91.4</v>
      </c>
      <c r="AC273" s="212">
        <v>110</v>
      </c>
      <c r="AD273" s="203">
        <f>ROUND((AC273-AB273)/(AC270-AB270),4)</f>
        <v>1.09E-2</v>
      </c>
      <c r="AE273" s="217">
        <f>ROUND(AB273-AB270*AD273,2)</f>
        <v>39.08</v>
      </c>
      <c r="AF273" s="211">
        <v>104</v>
      </c>
      <c r="AG273" s="212">
        <v>126.76944444444401</v>
      </c>
      <c r="AH273" s="203">
        <f>ROUND((AG273-AF273)/(AG270-AF270),4)</f>
        <v>1.34E-2</v>
      </c>
      <c r="AI273" s="217">
        <f>ROUND(AF273-AF270*AH273,2)</f>
        <v>39.68</v>
      </c>
      <c r="AJ273" s="211">
        <v>115</v>
      </c>
      <c r="AK273" s="212">
        <v>140</v>
      </c>
      <c r="AL273" s="203">
        <f>ROUND((AK273-AJ273)/(AK270-AJ270),4)</f>
        <v>1.47E-2</v>
      </c>
      <c r="AM273" s="217">
        <f>ROUND(AJ273-AJ270*AL273,2)</f>
        <v>44.44</v>
      </c>
      <c r="AN273" s="211">
        <v>117</v>
      </c>
      <c r="AO273" s="212">
        <v>143</v>
      </c>
      <c r="AP273" s="203">
        <f>ROUND((AO273-AN273)/(AO270-AN270),4)</f>
        <v>1.5299999999999999E-2</v>
      </c>
      <c r="AQ273" s="217">
        <f>ROUND(AN273-AN270*AP273,2)</f>
        <v>43.56</v>
      </c>
      <c r="AR273" s="211">
        <v>124</v>
      </c>
      <c r="AS273" s="212">
        <v>151</v>
      </c>
      <c r="AT273" s="203">
        <f>ROUND((AS273-AR273)/(AS270-AR270),4)</f>
        <v>1.5900000000000001E-2</v>
      </c>
      <c r="AU273" s="217">
        <f>ROUND(AR273-AR270*AT273,2)</f>
        <v>47.68</v>
      </c>
    </row>
    <row r="274" spans="1:47">
      <c r="D274" s="133">
        <v>5</v>
      </c>
      <c r="E274" s="133">
        <v>-20</v>
      </c>
      <c r="F274" s="203">
        <f>INDEX($R271:$AU285,$D274,1+VLOOKUP($B271,$B$351:$E$368,4,FALSE))</f>
        <v>8.2000000000000007E-3</v>
      </c>
      <c r="G274" s="203">
        <f>INDEX($R271:$AU285,$D274,2+VLOOKUP($B271,$B$351:$E$368,4,FALSE))</f>
        <v>30.14</v>
      </c>
      <c r="H274" s="203">
        <f>INDEX($R271:$AU285,$D274,5+VLOOKUP($B271,$B$351:$E$368,4,FALSE))</f>
        <v>9.2999999999999992E-3</v>
      </c>
      <c r="I274" s="203">
        <f>INDEX($R271:$AU285,$D274,6+VLOOKUP($B271,$B$351:$E$368,4,FALSE))</f>
        <v>33.46</v>
      </c>
      <c r="J274" s="203">
        <f>INDEX($R271:$AU285,$D274,9+VLOOKUP($B271,$B$351:$E$368,4,FALSE))</f>
        <v>9.2999999999999992E-3</v>
      </c>
      <c r="K274" s="203">
        <f>INDEX($R271:$AU285,$D274,10+VLOOKUP($B271,$B$351:$E$368,4,FALSE))</f>
        <v>34.76</v>
      </c>
      <c r="L274" s="203">
        <f>INDEX($R271:$AU285,$D274,13+VLOOKUP($B271,$B$351:$E$368,4,FALSE))</f>
        <v>9.5999999999999992E-3</v>
      </c>
      <c r="M274" s="203">
        <f>INDEX($R271:$AU285,$D274,14+VLOOKUP($B271,$B$351:$E$368,4,FALSE))</f>
        <v>37.22</v>
      </c>
      <c r="O274" s="215">
        <v>-25</v>
      </c>
      <c r="P274" s="211">
        <v>73.599999999999994</v>
      </c>
      <c r="Q274" s="212">
        <v>88.4</v>
      </c>
      <c r="R274" s="203">
        <f>ROUND((Q274-P274)/(Q270-P270),4)</f>
        <v>8.6999999999999994E-3</v>
      </c>
      <c r="S274" s="217">
        <f>ROUND(P274-P270*R274,2)</f>
        <v>31.84</v>
      </c>
      <c r="T274" s="211">
        <v>82.2</v>
      </c>
      <c r="U274" s="212">
        <v>98.8</v>
      </c>
      <c r="V274" s="203">
        <f>ROUND((U274-T274)/(U270-T270),4)</f>
        <v>9.7999999999999997E-3</v>
      </c>
      <c r="W274" s="217">
        <f>ROUND(T274-T270*V274,2)</f>
        <v>35.159999999999997</v>
      </c>
      <c r="X274" s="211">
        <v>83.5</v>
      </c>
      <c r="Y274" s="212">
        <v>100</v>
      </c>
      <c r="Z274" s="203">
        <f>ROUND((Y274-X274)/(Y270-X270),4)</f>
        <v>9.7000000000000003E-3</v>
      </c>
      <c r="AA274" s="217">
        <f>ROUND(X274-X270*Z274,2)</f>
        <v>36.94</v>
      </c>
      <c r="AB274" s="211">
        <v>87.4</v>
      </c>
      <c r="AC274" s="212">
        <v>105</v>
      </c>
      <c r="AD274" s="203">
        <f>ROUND((AC274-AB274)/(AC270-AB270),4)</f>
        <v>1.04E-2</v>
      </c>
      <c r="AE274" s="217">
        <f>ROUND(AB274-AB270*AD274,2)</f>
        <v>37.479999999999997</v>
      </c>
      <c r="AF274" s="211">
        <v>98.3</v>
      </c>
      <c r="AG274" s="212">
        <v>120</v>
      </c>
      <c r="AH274" s="203">
        <f>ROUND((AG274-AF274)/(AG270-AF270),4)</f>
        <v>1.2800000000000001E-2</v>
      </c>
      <c r="AI274" s="217">
        <f>ROUND(AF274-AF270*AH274,2)</f>
        <v>36.86</v>
      </c>
      <c r="AJ274" s="211">
        <v>108</v>
      </c>
      <c r="AK274" s="212">
        <v>132</v>
      </c>
      <c r="AL274" s="203">
        <f>ROUND((AK274-AJ274)/(AK270-AJ270),4)</f>
        <v>1.41E-2</v>
      </c>
      <c r="AM274" s="217">
        <f>ROUND(AJ274-AJ270*AL274,2)</f>
        <v>40.32</v>
      </c>
      <c r="AN274" s="211">
        <v>112</v>
      </c>
      <c r="AO274" s="212">
        <v>136</v>
      </c>
      <c r="AP274" s="203">
        <f>ROUND((AO274-AN274)/(AO270-AN270),4)</f>
        <v>1.41E-2</v>
      </c>
      <c r="AQ274" s="217">
        <f>ROUND(AN274-AN270*AP274,2)</f>
        <v>44.32</v>
      </c>
      <c r="AR274" s="211">
        <v>119</v>
      </c>
      <c r="AS274" s="212">
        <v>144</v>
      </c>
      <c r="AT274" s="203">
        <f>ROUND((AS274-AR274)/(AS270-AR270),4)</f>
        <v>1.47E-2</v>
      </c>
      <c r="AU274" s="217">
        <f>ROUND(AR274-AR270*AT274,2)</f>
        <v>48.44</v>
      </c>
    </row>
    <row r="275" spans="1:47">
      <c r="A275" t="s">
        <v>66</v>
      </c>
      <c r="B275" s="163" t="e">
        <f>VLOOKUP(B273,E270:M284,VLOOKUP(B272,B$345:D$348,2,FALSE))</f>
        <v>#REF!</v>
      </c>
      <c r="D275" s="133">
        <v>6</v>
      </c>
      <c r="E275" s="133">
        <v>-15</v>
      </c>
      <c r="F275" s="203">
        <f>INDEX($R271:$AU285,$D275,1+VLOOKUP($B271,$B$351:$E$368,4,FALSE))</f>
        <v>7.7000000000000002E-3</v>
      </c>
      <c r="G275" s="203">
        <f>INDEX($R271:$AU285,$D275,2+VLOOKUP($B271,$B$351:$E$368,4,FALSE))</f>
        <v>28.44</v>
      </c>
      <c r="H275" s="203">
        <f>INDEX($R271:$AU285,$D275,5+VLOOKUP($B271,$B$351:$E$368,4,FALSE))</f>
        <v>8.6999999999999994E-3</v>
      </c>
      <c r="I275" s="203">
        <f>INDEX($R271:$AU285,$D275,6+VLOOKUP($B271,$B$351:$E$368,4,FALSE))</f>
        <v>32.340000000000003</v>
      </c>
      <c r="J275" s="203">
        <f>INDEX($R271:$AU285,$D275,9+VLOOKUP($B271,$B$351:$E$368,4,FALSE))</f>
        <v>8.8000000000000005E-3</v>
      </c>
      <c r="K275" s="203">
        <f>INDEX($R271:$AU285,$D275,10+VLOOKUP($B271,$B$351:$E$368,4,FALSE))</f>
        <v>33.06</v>
      </c>
      <c r="L275" s="203">
        <f>INDEX($R271:$AU285,$D275,13+VLOOKUP($B271,$B$351:$E$368,4,FALSE))</f>
        <v>9.1999999999999998E-3</v>
      </c>
      <c r="M275" s="203">
        <f>INDEX($R271:$AU285,$D275,14+VLOOKUP($B271,$B$351:$E$368,4,FALSE))</f>
        <v>34.94</v>
      </c>
      <c r="O275" s="215">
        <v>-20</v>
      </c>
      <c r="P275" s="211">
        <v>69.5</v>
      </c>
      <c r="Q275" s="212">
        <v>83.4</v>
      </c>
      <c r="R275" s="203">
        <f>ROUND((Q275-P275)/(Q270-P270),4)</f>
        <v>8.2000000000000007E-3</v>
      </c>
      <c r="S275" s="217">
        <f>ROUND(P275-P270*R275,2)</f>
        <v>30.14</v>
      </c>
      <c r="T275" s="211">
        <v>78.099999999999994</v>
      </c>
      <c r="U275" s="212">
        <v>93.9</v>
      </c>
      <c r="V275" s="203">
        <f>ROUND((U275-T275)/(U270-T270),4)</f>
        <v>9.2999999999999992E-3</v>
      </c>
      <c r="W275" s="217">
        <f>ROUND(T275-T270*V275,2)</f>
        <v>33.46</v>
      </c>
      <c r="X275" s="211">
        <v>79.400000000000006</v>
      </c>
      <c r="Y275" s="212">
        <v>95.2</v>
      </c>
      <c r="Z275" s="203">
        <f>ROUND((Y275-X275)/(Y270-X270),4)</f>
        <v>9.2999999999999992E-3</v>
      </c>
      <c r="AA275" s="217">
        <f>ROUND(X275-X270*Z275,2)</f>
        <v>34.76</v>
      </c>
      <c r="AB275" s="211">
        <v>83.3</v>
      </c>
      <c r="AC275" s="212">
        <v>99.6</v>
      </c>
      <c r="AD275" s="203">
        <f>ROUND((AC275-AB275)/(AC270-AB270),4)</f>
        <v>9.5999999999999992E-3</v>
      </c>
      <c r="AE275" s="217">
        <f>ROUND(AB275-AB270*AD275,2)</f>
        <v>37.22</v>
      </c>
      <c r="AF275" s="211">
        <v>93.1</v>
      </c>
      <c r="AG275" s="212">
        <v>114</v>
      </c>
      <c r="AH275" s="203">
        <f>ROUND((AG275-AF275)/(AG270-AF270),4)</f>
        <v>1.23E-2</v>
      </c>
      <c r="AI275" s="217">
        <f>ROUND(AF275-AF270*AH275,2)</f>
        <v>34.06</v>
      </c>
      <c r="AJ275" s="211">
        <v>104</v>
      </c>
      <c r="AK275" s="212">
        <v>127</v>
      </c>
      <c r="AL275" s="203">
        <f>ROUND((AK275-AJ275)/(AK270-AJ270),4)</f>
        <v>1.35E-2</v>
      </c>
      <c r="AM275" s="217">
        <f>ROUND(AJ275-AJ270*AL275,2)</f>
        <v>39.200000000000003</v>
      </c>
      <c r="AN275" s="211">
        <v>106</v>
      </c>
      <c r="AO275" s="212">
        <v>130</v>
      </c>
      <c r="AP275" s="203">
        <f>ROUND((AO275-AN275)/(AO270-AN270),4)</f>
        <v>1.41E-2</v>
      </c>
      <c r="AQ275" s="217">
        <f>ROUND(AN275-AN270*AP275,2)</f>
        <v>38.32</v>
      </c>
      <c r="AR275" s="211">
        <v>113</v>
      </c>
      <c r="AS275" s="212">
        <v>138</v>
      </c>
      <c r="AT275" s="203">
        <f>ROUND((AS275-AR275)/(AS270-AR270),4)</f>
        <v>1.47E-2</v>
      </c>
      <c r="AU275" s="217">
        <f>ROUND(AR275-AR270*AT275,2)</f>
        <v>42.44</v>
      </c>
    </row>
    <row r="276" spans="1:47">
      <c r="A276" t="s">
        <v>249</v>
      </c>
      <c r="B276" s="163" t="e">
        <f>VLOOKUP(B273,E270:M284,VLOOKUP(B272,B$345:D$348,3,FALSE))</f>
        <v>#REF!</v>
      </c>
      <c r="D276" s="133">
        <v>7</v>
      </c>
      <c r="E276" s="133">
        <v>-10</v>
      </c>
      <c r="F276" s="203">
        <f>INDEX($R271:$AU285,$D276,1+VLOOKUP($B271,$B$351:$E$368,4,FALSE))</f>
        <v>7.1999999999999998E-3</v>
      </c>
      <c r="G276" s="203">
        <f>INDEX($R271:$AU285,$D276,2+VLOOKUP($B271,$B$351:$E$368,4,FALSE))</f>
        <v>26.74</v>
      </c>
      <c r="H276" s="203">
        <f>INDEX($R271:$AU285,$D276,5+VLOOKUP($B271,$B$351:$E$368,4,FALSE))</f>
        <v>8.2000000000000007E-3</v>
      </c>
      <c r="I276" s="203">
        <f>INDEX($R271:$AU285,$D276,6+VLOOKUP($B271,$B$351:$E$368,4,FALSE))</f>
        <v>30.64</v>
      </c>
      <c r="J276" s="203">
        <f>INDEX($R271:$AU285,$D276,9+VLOOKUP($B271,$B$351:$E$368,4,FALSE))</f>
        <v>8.3999999999999995E-3</v>
      </c>
      <c r="K276" s="203">
        <f>INDEX($R271:$AU285,$D276,10+VLOOKUP($B271,$B$351:$E$368,4,FALSE))</f>
        <v>30.88</v>
      </c>
      <c r="L276" s="203">
        <f>INDEX($R271:$AU285,$D276,13+VLOOKUP($B271,$B$351:$E$368,4,FALSE))</f>
        <v>8.6E-3</v>
      </c>
      <c r="M276" s="203">
        <f>INDEX($R271:$AU285,$D276,14+VLOOKUP($B271,$B$351:$E$368,4,FALSE))</f>
        <v>33.82</v>
      </c>
      <c r="O276" s="215">
        <v>-15</v>
      </c>
      <c r="P276" s="211">
        <v>65.400000000000006</v>
      </c>
      <c r="Q276" s="212">
        <v>78.5</v>
      </c>
      <c r="R276" s="203">
        <f>ROUND((Q276-P276)/(Q270-P270),4)</f>
        <v>7.7000000000000002E-3</v>
      </c>
      <c r="S276" s="217">
        <f>ROUND(P276-P270*R276,2)</f>
        <v>28.44</v>
      </c>
      <c r="T276" s="211">
        <v>74.099999999999994</v>
      </c>
      <c r="U276" s="212">
        <v>88.9</v>
      </c>
      <c r="V276" s="203">
        <f>ROUND((U276-T276)/(U270-T270),4)</f>
        <v>8.6999999999999994E-3</v>
      </c>
      <c r="W276" s="217">
        <f>ROUND(T276-T270*V276,2)</f>
        <v>32.340000000000003</v>
      </c>
      <c r="X276" s="211">
        <v>75.3</v>
      </c>
      <c r="Y276" s="212">
        <v>90.3</v>
      </c>
      <c r="Z276" s="203">
        <f>ROUND((Y276-X276)/(Y270-X270),4)</f>
        <v>8.8000000000000005E-3</v>
      </c>
      <c r="AA276" s="217">
        <f>ROUND(X276-X270*Z276,2)</f>
        <v>33.06</v>
      </c>
      <c r="AB276" s="211">
        <v>79.099999999999994</v>
      </c>
      <c r="AC276" s="212">
        <v>94.7</v>
      </c>
      <c r="AD276" s="203">
        <f>ROUND((AC276-AB276)/(AC270-AB270),4)</f>
        <v>9.1999999999999998E-3</v>
      </c>
      <c r="AE276" s="217">
        <f>ROUND(AB276-AB270*AD276,2)</f>
        <v>34.94</v>
      </c>
      <c r="AF276" s="211">
        <v>87.8</v>
      </c>
      <c r="AG276" s="212">
        <v>107</v>
      </c>
      <c r="AH276" s="203">
        <f>ROUND((AG276-AF276)/(AG270-AF270),4)</f>
        <v>1.1299999999999999E-2</v>
      </c>
      <c r="AI276" s="217">
        <f>ROUND(AF276-AF270*AH276,2)</f>
        <v>33.56</v>
      </c>
      <c r="AJ276" s="211">
        <v>98.7</v>
      </c>
      <c r="AK276" s="212">
        <v>120</v>
      </c>
      <c r="AL276" s="203">
        <f>ROUND((AK276-AJ276)/(AK270-AJ270),4)</f>
        <v>1.2500000000000001E-2</v>
      </c>
      <c r="AM276" s="217">
        <f>ROUND(AJ276-AJ270*AL276,2)</f>
        <v>38.700000000000003</v>
      </c>
      <c r="AN276" s="211">
        <v>101</v>
      </c>
      <c r="AO276" s="212">
        <v>123</v>
      </c>
      <c r="AP276" s="203">
        <f>ROUND((AO276-AN276)/(AO270-AN270),4)</f>
        <v>1.29E-2</v>
      </c>
      <c r="AQ276" s="217">
        <f>ROUND(AN276-AN270*AP276,2)</f>
        <v>39.08</v>
      </c>
      <c r="AR276" s="211">
        <v>108</v>
      </c>
      <c r="AS276" s="212">
        <v>131</v>
      </c>
      <c r="AT276" s="203">
        <f>ROUND((AS276-AR276)/(AS270-AR270),4)</f>
        <v>1.35E-2</v>
      </c>
      <c r="AU276" s="217">
        <f>ROUND(AR276-AR270*AT276,2)</f>
        <v>43.2</v>
      </c>
    </row>
    <row r="277" spans="1:47">
      <c r="D277" s="133">
        <v>8</v>
      </c>
      <c r="E277" s="133">
        <v>-5</v>
      </c>
      <c r="F277" s="203">
        <f>INDEX($R271:$AU285,$D277,1+VLOOKUP($B271,$B$351:$E$368,4,FALSE))</f>
        <v>6.6E-3</v>
      </c>
      <c r="G277" s="203">
        <f>INDEX($R271:$AU285,$D277,2+VLOOKUP($B271,$B$351:$E$368,4,FALSE))</f>
        <v>25.62</v>
      </c>
      <c r="H277" s="203">
        <f>INDEX($R271:$AU285,$D277,5+VLOOKUP($B271,$B$351:$E$368,4,FALSE))</f>
        <v>7.7000000000000002E-3</v>
      </c>
      <c r="I277" s="203">
        <f>INDEX($R271:$AU285,$D277,6+VLOOKUP($B271,$B$351:$E$368,4,FALSE))</f>
        <v>28.94</v>
      </c>
      <c r="J277" s="203">
        <f>INDEX($R271:$AU285,$D277,9+VLOOKUP($B271,$B$351:$E$368,4,FALSE))</f>
        <v>7.7999999999999996E-3</v>
      </c>
      <c r="K277" s="203">
        <f>INDEX($R271:$AU285,$D277,10+VLOOKUP($B271,$B$351:$E$368,4,FALSE))</f>
        <v>29.66</v>
      </c>
      <c r="L277" s="203">
        <f>INDEX($R271:$AU285,$D277,13+VLOOKUP($B271,$B$351:$E$368,4,FALSE))</f>
        <v>8.0999999999999996E-3</v>
      </c>
      <c r="M277" s="203">
        <f>INDEX($R271:$AU285,$D277,14+VLOOKUP($B271,$B$351:$E$368,4,FALSE))</f>
        <v>32.020000000000003</v>
      </c>
      <c r="O277" s="215">
        <v>-10</v>
      </c>
      <c r="P277" s="211">
        <v>61.3</v>
      </c>
      <c r="Q277" s="212">
        <v>73.599999999999994</v>
      </c>
      <c r="R277" s="203">
        <f>ROUND((Q277-P277)/(Q270-P270),4)</f>
        <v>7.1999999999999998E-3</v>
      </c>
      <c r="S277" s="217">
        <f>ROUND(P277-P270*R277,2)</f>
        <v>26.74</v>
      </c>
      <c r="T277" s="211">
        <v>70</v>
      </c>
      <c r="U277" s="212">
        <v>84</v>
      </c>
      <c r="V277" s="203">
        <f>ROUND((U277-T277)/(U270-T270),4)</f>
        <v>8.2000000000000007E-3</v>
      </c>
      <c r="W277" s="217">
        <f>ROUND(T277-T270*V277,2)</f>
        <v>30.64</v>
      </c>
      <c r="X277" s="211">
        <v>71.2</v>
      </c>
      <c r="Y277" s="212">
        <v>85.4</v>
      </c>
      <c r="Z277" s="203">
        <f>ROUND((Y277-X277)/(Y270-X270),4)</f>
        <v>8.3999999999999995E-3</v>
      </c>
      <c r="AA277" s="217">
        <f>ROUND(X277-X270*Z277,2)</f>
        <v>30.88</v>
      </c>
      <c r="AB277" s="211">
        <v>75.099999999999994</v>
      </c>
      <c r="AC277" s="212">
        <v>89.7</v>
      </c>
      <c r="AD277" s="203">
        <f>ROUND((AC277-AB277)/(AC270-AB270),4)</f>
        <v>8.6E-3</v>
      </c>
      <c r="AE277" s="217">
        <f>ROUND(AB277-AB270*AD277,2)</f>
        <v>33.82</v>
      </c>
      <c r="AF277" s="211">
        <v>82.5</v>
      </c>
      <c r="AG277" s="212">
        <v>101</v>
      </c>
      <c r="AH277" s="203">
        <f>ROUND((AG277-AF277)/(AG270-AF270),4)</f>
        <v>1.09E-2</v>
      </c>
      <c r="AI277" s="217">
        <f>ROUND(AF277-AF270*AH277,2)</f>
        <v>30.18</v>
      </c>
      <c r="AJ277" s="211">
        <v>93.5</v>
      </c>
      <c r="AK277" s="212">
        <v>114</v>
      </c>
      <c r="AL277" s="203">
        <f>ROUND((AK277-AJ277)/(AK270-AJ270),4)</f>
        <v>1.21E-2</v>
      </c>
      <c r="AM277" s="217">
        <f>ROUND(AJ277-AJ270*AL277,2)</f>
        <v>35.42</v>
      </c>
      <c r="AN277" s="211">
        <v>95.8</v>
      </c>
      <c r="AO277" s="212">
        <v>117</v>
      </c>
      <c r="AP277" s="203">
        <f>ROUND((AO277-AN277)/(AO270-AN270),4)</f>
        <v>1.2500000000000001E-2</v>
      </c>
      <c r="AQ277" s="217">
        <f>ROUND(AN277-AN270*AP277,2)</f>
        <v>35.799999999999997</v>
      </c>
      <c r="AR277" s="211">
        <v>103</v>
      </c>
      <c r="AS277" s="212">
        <v>125</v>
      </c>
      <c r="AT277" s="203">
        <f>ROUND((AS277-AR277)/(AS270-AR270),4)</f>
        <v>1.29E-2</v>
      </c>
      <c r="AU277" s="217">
        <f>ROUND(AR277-AR270*AT277,2)</f>
        <v>41.08</v>
      </c>
    </row>
    <row r="278" spans="1:47">
      <c r="A278" t="s">
        <v>254</v>
      </c>
      <c r="B278" s="163" t="e">
        <f>B270*B275+B276</f>
        <v>#REF!</v>
      </c>
      <c r="D278" s="133">
        <v>9</v>
      </c>
      <c r="E278" s="133">
        <v>0</v>
      </c>
      <c r="F278" s="203">
        <f>INDEX($R271:$AU285,$D278,1+VLOOKUP($B271,$B$351:$E$368,4,FALSE))</f>
        <v>6.1999999999999998E-3</v>
      </c>
      <c r="G278" s="203">
        <f>INDEX($R271:$AU285,$D278,2+VLOOKUP($B271,$B$351:$E$368,4,FALSE))</f>
        <v>23.44</v>
      </c>
      <c r="H278" s="203">
        <f>INDEX($R271:$AU285,$D278,5+VLOOKUP($B271,$B$351:$E$368,4,FALSE))</f>
        <v>7.1999999999999998E-3</v>
      </c>
      <c r="I278" s="203">
        <f>INDEX($R271:$AU285,$D278,6+VLOOKUP($B271,$B$351:$E$368,4,FALSE))</f>
        <v>27.24</v>
      </c>
      <c r="J278" s="203">
        <f>INDEX($R271:$AU285,$D278,9+VLOOKUP($B271,$B$351:$E$368,4,FALSE))</f>
        <v>7.4000000000000003E-3</v>
      </c>
      <c r="K278" s="203">
        <f>INDEX($R271:$AU285,$D278,10+VLOOKUP($B271,$B$351:$E$368,4,FALSE))</f>
        <v>27.48</v>
      </c>
      <c r="L278" s="203">
        <f>INDEX($R271:$AU285,$D278,13+VLOOKUP($B271,$B$351:$E$368,4,FALSE))</f>
        <v>7.6E-3</v>
      </c>
      <c r="M278" s="203">
        <f>INDEX($R271:$AU285,$D278,14+VLOOKUP($B271,$B$351:$E$368,4,FALSE))</f>
        <v>30.32</v>
      </c>
      <c r="O278" s="215">
        <v>-5</v>
      </c>
      <c r="P278" s="211">
        <v>57.3</v>
      </c>
      <c r="Q278" s="212">
        <v>68.599999999999994</v>
      </c>
      <c r="R278" s="203">
        <f>ROUND((Q278-P278)/(Q270-P270),4)</f>
        <v>6.6E-3</v>
      </c>
      <c r="S278" s="217">
        <f>ROUND(P278-P270*R278,2)</f>
        <v>25.62</v>
      </c>
      <c r="T278" s="211">
        <v>65.900000000000006</v>
      </c>
      <c r="U278" s="212">
        <v>79</v>
      </c>
      <c r="V278" s="203">
        <f>ROUND((U278-T278)/(U270-T270),4)</f>
        <v>7.7000000000000002E-3</v>
      </c>
      <c r="W278" s="217">
        <f>ROUND(T278-T270*V278,2)</f>
        <v>28.94</v>
      </c>
      <c r="X278" s="211">
        <v>67.099999999999994</v>
      </c>
      <c r="Y278" s="212">
        <v>80.400000000000006</v>
      </c>
      <c r="Z278" s="203">
        <f>ROUND((Y278-X278)/(Y270-X270),4)</f>
        <v>7.7999999999999996E-3</v>
      </c>
      <c r="AA278" s="217">
        <f>ROUND(X278-X270*Z278,2)</f>
        <v>29.66</v>
      </c>
      <c r="AB278" s="211">
        <v>70.900000000000006</v>
      </c>
      <c r="AC278" s="212">
        <v>84.7</v>
      </c>
      <c r="AD278" s="203">
        <f>ROUND((AC278-AB278)/(AC270-AB270),4)</f>
        <v>8.0999999999999996E-3</v>
      </c>
      <c r="AE278" s="217">
        <f>ROUND(AB278-AB270*AD278,2)</f>
        <v>32.020000000000003</v>
      </c>
      <c r="AF278" s="211">
        <v>77.2</v>
      </c>
      <c r="AG278" s="212">
        <v>94.3</v>
      </c>
      <c r="AH278" s="203">
        <f>ROUND((AG278-AF278)/(AG270-AF270),4)</f>
        <v>1.01E-2</v>
      </c>
      <c r="AI278" s="217">
        <f>ROUND(AF278-AF270*AH278,2)</f>
        <v>28.72</v>
      </c>
      <c r="AJ278" s="211">
        <v>88.2</v>
      </c>
      <c r="AK278" s="212">
        <v>108</v>
      </c>
      <c r="AL278" s="203">
        <f>ROUND((AK278-AJ278)/(AK270-AJ270),4)</f>
        <v>1.1599999999999999E-2</v>
      </c>
      <c r="AM278" s="217">
        <f>ROUND(AJ278-AJ270*AL278,2)</f>
        <v>32.520000000000003</v>
      </c>
      <c r="AN278" s="211">
        <v>90.4</v>
      </c>
      <c r="AO278" s="212">
        <v>110</v>
      </c>
      <c r="AP278" s="203">
        <f>ROUND((AO278-AN278)/(AO270-AN270),4)</f>
        <v>1.15E-2</v>
      </c>
      <c r="AQ278" s="217">
        <f>ROUND(AN278-AN270*AP278,2)</f>
        <v>35.200000000000003</v>
      </c>
      <c r="AR278" s="211">
        <v>97.1</v>
      </c>
      <c r="AS278" s="212">
        <v>118</v>
      </c>
      <c r="AT278" s="203">
        <f>ROUND((AS278-AR278)/(AS270-AR270),4)</f>
        <v>1.23E-2</v>
      </c>
      <c r="AU278" s="217">
        <f>ROUND(AR278-AR270*AT278,2)</f>
        <v>38.06</v>
      </c>
    </row>
    <row r="279" spans="1:47">
      <c r="A279" t="s">
        <v>255</v>
      </c>
      <c r="B279" s="163" t="e">
        <f>ROUND(B278/(0.000335*B270),1)+B273</f>
        <v>#REF!</v>
      </c>
      <c r="D279" s="133">
        <v>10</v>
      </c>
      <c r="E279" s="133">
        <v>5</v>
      </c>
      <c r="F279" s="203">
        <f>INDEX($R271:$AU285,$D279,1+VLOOKUP($B271,$B$351:$E$368,4,FALSE))</f>
        <v>5.7000000000000002E-3</v>
      </c>
      <c r="G279" s="203">
        <f>INDEX($R271:$AU285,$D279,2+VLOOKUP($B271,$B$351:$E$368,4,FALSE))</f>
        <v>21.74</v>
      </c>
      <c r="H279" s="203">
        <f>INDEX($R271:$AU285,$D279,5+VLOOKUP($B271,$B$351:$E$368,4,FALSE))</f>
        <v>6.7999999999999996E-3</v>
      </c>
      <c r="I279" s="203">
        <f>INDEX($R271:$AU285,$D279,6+VLOOKUP($B271,$B$351:$E$368,4,FALSE))</f>
        <v>25.06</v>
      </c>
      <c r="J279" s="203">
        <f>INDEX($R271:$AU285,$D279,9+VLOOKUP($B271,$B$351:$E$368,4,FALSE))</f>
        <v>6.7999999999999996E-3</v>
      </c>
      <c r="K279" s="203">
        <f>INDEX($R271:$AU285,$D279,10+VLOOKUP($B271,$B$351:$E$368,4,FALSE))</f>
        <v>26.26</v>
      </c>
      <c r="L279" s="203">
        <f>INDEX($R271:$AU285,$D279,13+VLOOKUP($B271,$B$351:$E$368,4,FALSE))</f>
        <v>7.1999999999999998E-3</v>
      </c>
      <c r="M279" s="203">
        <f>INDEX($R271:$AU285,$D279,14+VLOOKUP($B271,$B$351:$E$368,4,FALSE))</f>
        <v>28.04</v>
      </c>
      <c r="O279" s="215">
        <v>0</v>
      </c>
      <c r="P279" s="211">
        <v>53.2</v>
      </c>
      <c r="Q279" s="212">
        <v>63.7</v>
      </c>
      <c r="R279" s="203">
        <f>ROUND((Q279-P279)/(Q270-P270),4)</f>
        <v>6.1999999999999998E-3</v>
      </c>
      <c r="S279" s="217">
        <f>ROUND(P279-P270*R279,2)</f>
        <v>23.44</v>
      </c>
      <c r="T279" s="211">
        <v>61.8</v>
      </c>
      <c r="U279" s="212">
        <v>74.099999999999994</v>
      </c>
      <c r="V279" s="203">
        <f>ROUND((U279-T279)/(U270-T270),4)</f>
        <v>7.1999999999999998E-3</v>
      </c>
      <c r="W279" s="217">
        <f>ROUND(T279-T270*V279,2)</f>
        <v>27.24</v>
      </c>
      <c r="X279" s="211">
        <v>63</v>
      </c>
      <c r="Y279" s="212">
        <v>75.5</v>
      </c>
      <c r="Z279" s="203">
        <f>ROUND((Y279-X279)/(Y270-X270),4)</f>
        <v>7.4000000000000003E-3</v>
      </c>
      <c r="AA279" s="217">
        <f>ROUND(X279-X270*Z279,2)</f>
        <v>27.48</v>
      </c>
      <c r="AB279" s="211">
        <v>66.8</v>
      </c>
      <c r="AC279" s="212">
        <v>79.8</v>
      </c>
      <c r="AD279" s="203">
        <f>ROUND((AC279-AB279)/(AC270-AB270),4)</f>
        <v>7.6E-3</v>
      </c>
      <c r="AE279" s="217">
        <f>ROUND(AB279-AB270*AD279,2)</f>
        <v>30.32</v>
      </c>
      <c r="AF279" s="211">
        <v>71.900000000000006</v>
      </c>
      <c r="AG279" s="212">
        <v>87.7</v>
      </c>
      <c r="AH279" s="203">
        <f>ROUND((AG279-AF279)/(AG270-AF270),4)</f>
        <v>9.2999999999999992E-3</v>
      </c>
      <c r="AI279" s="217">
        <f>ROUND(AF279-AF270*AH279,2)</f>
        <v>27.26</v>
      </c>
      <c r="AJ279" s="211">
        <v>82.9</v>
      </c>
      <c r="AK279" s="212">
        <v>101</v>
      </c>
      <c r="AL279" s="203">
        <f>ROUND((AK279-AJ279)/(AK270-AJ270),4)</f>
        <v>1.06E-2</v>
      </c>
      <c r="AM279" s="217">
        <f>ROUND(AJ279-AJ270*AL279,2)</f>
        <v>32.020000000000003</v>
      </c>
      <c r="AN279" s="211">
        <v>85.1</v>
      </c>
      <c r="AO279" s="212">
        <v>104</v>
      </c>
      <c r="AP279" s="203">
        <f>ROUND((AO279-AN279)/(AO270-AN270),4)</f>
        <v>1.11E-2</v>
      </c>
      <c r="AQ279" s="217">
        <f>ROUND(AN279-AN270*AP279,2)</f>
        <v>31.82</v>
      </c>
      <c r="AR279" s="211">
        <v>91.8</v>
      </c>
      <c r="AS279" s="212">
        <v>112</v>
      </c>
      <c r="AT279" s="203">
        <f>ROUND((AS279-AR279)/(AS270-AR270),4)</f>
        <v>1.1900000000000001E-2</v>
      </c>
      <c r="AU279" s="217">
        <f>ROUND(AR279-AR270*AT279,2)</f>
        <v>34.68</v>
      </c>
    </row>
    <row r="280" spans="1:47">
      <c r="D280" s="133">
        <v>11</v>
      </c>
      <c r="E280" s="133">
        <v>10</v>
      </c>
      <c r="F280" s="203">
        <f>INDEX($R271:$AU285,$D280,1+VLOOKUP($B271,$B$351:$E$368,4,FALSE))</f>
        <v>5.1999999999999998E-3</v>
      </c>
      <c r="G280" s="203">
        <f>INDEX($R271:$AU285,$D280,2+VLOOKUP($B271,$B$351:$E$368,4,FALSE))</f>
        <v>20.04</v>
      </c>
      <c r="H280" s="203">
        <f>INDEX($R271:$AU285,$D280,5+VLOOKUP($B271,$B$351:$E$368,4,FALSE))</f>
        <v>6.1999999999999998E-3</v>
      </c>
      <c r="I280" s="203">
        <f>INDEX($R271:$AU285,$D280,6+VLOOKUP($B271,$B$351:$E$368,4,FALSE))</f>
        <v>23.84</v>
      </c>
      <c r="J280" s="203">
        <f>INDEX($R271:$AU285,$D280,9+VLOOKUP($B271,$B$351:$E$368,4,FALSE))</f>
        <v>6.3E-3</v>
      </c>
      <c r="K280" s="203">
        <f>INDEX($R271:$AU285,$D280,10+VLOOKUP($B271,$B$351:$E$368,4,FALSE))</f>
        <v>24.56</v>
      </c>
      <c r="L280" s="203">
        <f>INDEX($R271:$AU285,$D280,13+VLOOKUP($B271,$B$351:$E$368,4,FALSE))</f>
        <v>6.6E-3</v>
      </c>
      <c r="M280" s="203">
        <f>INDEX($R271:$AU285,$D280,14+VLOOKUP($B271,$B$351:$E$368,4,FALSE))</f>
        <v>26.82</v>
      </c>
      <c r="O280" s="215">
        <v>5</v>
      </c>
      <c r="P280" s="211">
        <v>49.1</v>
      </c>
      <c r="Q280" s="212">
        <v>58.8</v>
      </c>
      <c r="R280" s="203">
        <f>ROUND((Q280-P280)/(Q270-P270),4)</f>
        <v>5.7000000000000002E-3</v>
      </c>
      <c r="S280" s="217">
        <f>ROUND(P280-P270*R280,2)</f>
        <v>21.74</v>
      </c>
      <c r="T280" s="211">
        <v>57.7</v>
      </c>
      <c r="U280" s="212">
        <v>69.2</v>
      </c>
      <c r="V280" s="203">
        <f>ROUND((U280-T280)/(U270-T270),4)</f>
        <v>6.7999999999999996E-3</v>
      </c>
      <c r="W280" s="217">
        <f>ROUND(T280-T270*V280,2)</f>
        <v>25.06</v>
      </c>
      <c r="X280" s="211">
        <v>58.9</v>
      </c>
      <c r="Y280" s="212">
        <v>70.5</v>
      </c>
      <c r="Z280" s="203">
        <f>ROUND((Y280-X280)/(Y270-X270),4)</f>
        <v>6.7999999999999996E-3</v>
      </c>
      <c r="AA280" s="217">
        <f>ROUND(X280-X270*Z280,2)</f>
        <v>26.26</v>
      </c>
      <c r="AB280" s="211">
        <v>62.6</v>
      </c>
      <c r="AC280" s="212">
        <v>74.8</v>
      </c>
      <c r="AD280" s="203">
        <f>ROUND((AC280-AB280)/(AC270-AB270),4)</f>
        <v>7.1999999999999998E-3</v>
      </c>
      <c r="AE280" s="217">
        <f>ROUND(AB280-AB270*AD280,2)</f>
        <v>28.04</v>
      </c>
      <c r="AF280" s="211">
        <v>66.599999999999994</v>
      </c>
      <c r="AG280" s="212">
        <v>81.2</v>
      </c>
      <c r="AH280" s="203">
        <f>ROUND((AG280-AF280)/(AG270-AF270),4)</f>
        <v>8.6E-3</v>
      </c>
      <c r="AI280" s="217">
        <f>ROUND(AF280-AF270*AH280,2)</f>
        <v>25.32</v>
      </c>
      <c r="AJ280" s="211">
        <v>77.5</v>
      </c>
      <c r="AK280" s="212">
        <v>94.7</v>
      </c>
      <c r="AL280" s="203">
        <f>ROUND((AK280-AJ280)/(AK270-AJ270),4)</f>
        <v>1.01E-2</v>
      </c>
      <c r="AM280" s="217">
        <f>ROUND(AJ280-AJ270*AL280,2)</f>
        <v>29.02</v>
      </c>
      <c r="AN280" s="211">
        <v>79.8</v>
      </c>
      <c r="AO280" s="212">
        <v>97.3</v>
      </c>
      <c r="AP280" s="203">
        <f>ROUND((AO280-AN280)/(AO270-AN270),4)</f>
        <v>1.03E-2</v>
      </c>
      <c r="AQ280" s="217">
        <f>ROUND(AN280-AN270*AP280,2)</f>
        <v>30.36</v>
      </c>
      <c r="AR280" s="211">
        <v>86.4</v>
      </c>
      <c r="AS280" s="212">
        <v>105</v>
      </c>
      <c r="AT280" s="203">
        <f>ROUND((AS280-AR280)/(AS270-AR270),4)</f>
        <v>1.09E-2</v>
      </c>
      <c r="AU280" s="217">
        <f>ROUND(AR280-AR270*AT280,2)</f>
        <v>34.08</v>
      </c>
    </row>
    <row r="281" spans="1:47">
      <c r="A281" t="s">
        <v>256</v>
      </c>
      <c r="B281" s="163" t="e">
        <f>ROUND(B278/(4183*VLOOKUP(B272,B$345:E$348,4,FALSE))*3600,2)</f>
        <v>#REF!</v>
      </c>
      <c r="D281" s="133">
        <v>12</v>
      </c>
      <c r="E281" s="133">
        <v>15</v>
      </c>
      <c r="F281" s="203">
        <f>INDEX($R271:$AU285,$D281,1+VLOOKUP($B271,$B$351:$E$368,4,FALSE))</f>
        <v>4.7000000000000002E-3</v>
      </c>
      <c r="G281" s="203">
        <f>INDEX($R271:$AU285,$D281,2+VLOOKUP($B271,$B$351:$E$368,4,FALSE))</f>
        <v>18.34</v>
      </c>
      <c r="H281" s="203">
        <f>INDEX($R271:$AU285,$D281,5+VLOOKUP($B271,$B$351:$E$368,4,FALSE))</f>
        <v>5.7999999999999996E-3</v>
      </c>
      <c r="I281" s="203">
        <f>INDEX($R271:$AU285,$D281,6+VLOOKUP($B271,$B$351:$E$368,4,FALSE))</f>
        <v>21.66</v>
      </c>
      <c r="J281" s="203">
        <f>INDEX($R271:$AU285,$D281,9+VLOOKUP($B271,$B$351:$E$368,4,FALSE))</f>
        <v>5.7999999999999996E-3</v>
      </c>
      <c r="K281" s="203">
        <f>INDEX($R271:$AU285,$D281,10+VLOOKUP($B271,$B$351:$E$368,4,FALSE))</f>
        <v>22.86</v>
      </c>
      <c r="L281" s="203">
        <f>INDEX($R271:$AU285,$D281,13+VLOOKUP($B271,$B$351:$E$368,4,FALSE))</f>
        <v>6.1000000000000004E-3</v>
      </c>
      <c r="M281" s="203">
        <f>INDEX($R271:$AU285,$D281,14+VLOOKUP($B271,$B$351:$E$368,4,FALSE))</f>
        <v>25.12</v>
      </c>
      <c r="O281" s="215">
        <v>10</v>
      </c>
      <c r="P281" s="211">
        <v>45</v>
      </c>
      <c r="Q281" s="212">
        <v>53.8</v>
      </c>
      <c r="R281" s="203">
        <f>ROUND((Q281-P281)/(Q270-P270),4)</f>
        <v>5.1999999999999998E-3</v>
      </c>
      <c r="S281" s="217">
        <f>ROUND(P281-P270*R281,2)</f>
        <v>20.04</v>
      </c>
      <c r="T281" s="211">
        <v>53.6</v>
      </c>
      <c r="U281" s="212">
        <v>64.2</v>
      </c>
      <c r="V281" s="203">
        <f>ROUND((U281-T281)/(U270-T270),4)</f>
        <v>6.1999999999999998E-3</v>
      </c>
      <c r="W281" s="217">
        <f>ROUND(T281-T270*V281,2)</f>
        <v>23.84</v>
      </c>
      <c r="X281" s="211">
        <v>54.8</v>
      </c>
      <c r="Y281" s="212">
        <v>65.5</v>
      </c>
      <c r="Z281" s="203">
        <f>ROUND((Y281-X281)/(Y270-X270),4)</f>
        <v>6.3E-3</v>
      </c>
      <c r="AA281" s="217">
        <f>ROUND(X281-X270*Z281,2)</f>
        <v>24.56</v>
      </c>
      <c r="AB281" s="211">
        <v>58.5</v>
      </c>
      <c r="AC281" s="212">
        <v>69.8</v>
      </c>
      <c r="AD281" s="203">
        <f>ROUND((AC281-AB281)/(AC270-AB270),4)</f>
        <v>6.6E-3</v>
      </c>
      <c r="AE281" s="217">
        <f>ROUND(AB281-AB270*AD281,2)</f>
        <v>26.82</v>
      </c>
      <c r="AF281" s="211">
        <v>61.3</v>
      </c>
      <c r="AG281" s="212">
        <v>74.599999999999994</v>
      </c>
      <c r="AH281" s="203">
        <f>ROUND((AG281-AF281)/(AG270-AF270),4)</f>
        <v>7.7999999999999996E-3</v>
      </c>
      <c r="AI281" s="217">
        <f>ROUND(AF281-AF270*AH281,2)</f>
        <v>23.86</v>
      </c>
      <c r="AJ281" s="211">
        <v>72.3</v>
      </c>
      <c r="AK281" s="212">
        <v>88.2</v>
      </c>
      <c r="AL281" s="203">
        <f>ROUND((AK281-AJ281)/(AK270-AJ270),4)</f>
        <v>9.4000000000000004E-3</v>
      </c>
      <c r="AM281" s="217">
        <f>ROUND(AJ281-AJ270*AL281,2)</f>
        <v>27.18</v>
      </c>
      <c r="AN281" s="211">
        <v>74.5</v>
      </c>
      <c r="AO281" s="212">
        <v>90.7</v>
      </c>
      <c r="AP281" s="203">
        <f>ROUND((AO281-AN281)/(AO270-AN270),4)</f>
        <v>9.4999999999999998E-3</v>
      </c>
      <c r="AQ281" s="217">
        <f>ROUND(AN281-AN270*AP281,2)</f>
        <v>28.9</v>
      </c>
      <c r="AR281" s="211">
        <v>81</v>
      </c>
      <c r="AS281" s="212">
        <v>98.3</v>
      </c>
      <c r="AT281" s="203">
        <f>ROUND((AS281-AR281)/(AS270-AR270),4)</f>
        <v>1.0200000000000001E-2</v>
      </c>
      <c r="AU281" s="217">
        <f>ROUND(AR281-AR270*AT281,2)</f>
        <v>32.04</v>
      </c>
    </row>
    <row r="282" spans="1:47">
      <c r="A282" t="s">
        <v>257</v>
      </c>
      <c r="B282" s="163" t="e">
        <f>ROUND(100*POWER(B281/VLOOKUP(B271,B$351:C$368,2,FALSE),2),1)</f>
        <v>#REF!</v>
      </c>
      <c r="D282" s="133">
        <v>13</v>
      </c>
      <c r="E282" s="133">
        <v>20</v>
      </c>
      <c r="F282" s="203">
        <f>INDEX($R271:$AU285,$D282,1+VLOOKUP($B271,$B$351:$E$368,4,FALSE))</f>
        <v>4.1999999999999997E-3</v>
      </c>
      <c r="G282" s="203">
        <f>INDEX($R271:$AU285,$D282,2+VLOOKUP($B271,$B$351:$E$368,4,FALSE))</f>
        <v>16.670000000000002</v>
      </c>
      <c r="H282" s="203">
        <f>INDEX($R271:$AU285,$D282,5+VLOOKUP($B271,$B$351:$E$368,4,FALSE))</f>
        <v>5.1999999999999998E-3</v>
      </c>
      <c r="I282" s="203">
        <f>INDEX($R271:$AU285,$D282,6+VLOOKUP($B271,$B$351:$E$368,4,FALSE))</f>
        <v>20.48</v>
      </c>
      <c r="J282" s="203">
        <f>INDEX($R271:$AU285,$D282,9+VLOOKUP($B271,$B$351:$E$368,4,FALSE))</f>
        <v>5.4000000000000003E-3</v>
      </c>
      <c r="K282" s="203">
        <f>INDEX($R271:$AU285,$D282,10+VLOOKUP($B271,$B$351:$E$368,4,FALSE))</f>
        <v>20.68</v>
      </c>
      <c r="L282" s="203">
        <f>INDEX($R271:$AU285,$D282,13+VLOOKUP($B271,$B$351:$E$368,4,FALSE))</f>
        <v>5.5999999999999999E-3</v>
      </c>
      <c r="M282" s="203">
        <f>INDEX($R271:$AU285,$D282,14+VLOOKUP($B271,$B$351:$E$368,4,FALSE))</f>
        <v>23.41</v>
      </c>
      <c r="O282" s="215">
        <v>15</v>
      </c>
      <c r="P282" s="211">
        <v>40.9</v>
      </c>
      <c r="Q282" s="212">
        <v>48.9</v>
      </c>
      <c r="R282" s="203">
        <f>ROUND((Q282-P282)/(Q270-P270),4)</f>
        <v>4.7000000000000002E-3</v>
      </c>
      <c r="S282" s="217">
        <f>ROUND(P282-P270*R282,2)</f>
        <v>18.34</v>
      </c>
      <c r="T282" s="211">
        <v>49.5</v>
      </c>
      <c r="U282" s="212">
        <v>59.3</v>
      </c>
      <c r="V282" s="203">
        <f>ROUND((U282-T282)/(U270-T270),4)</f>
        <v>5.7999999999999996E-3</v>
      </c>
      <c r="W282" s="217">
        <f>ROUND(T282-T270*V282,2)</f>
        <v>21.66</v>
      </c>
      <c r="X282" s="211">
        <v>50.7</v>
      </c>
      <c r="Y282" s="212">
        <v>60.6</v>
      </c>
      <c r="Z282" s="203">
        <f>ROUND((Y282-X282)/(Y270-X270),4)</f>
        <v>5.7999999999999996E-3</v>
      </c>
      <c r="AA282" s="217">
        <f>ROUND(X282-X270*Z282,2)</f>
        <v>22.86</v>
      </c>
      <c r="AB282" s="211">
        <v>54.4</v>
      </c>
      <c r="AC282" s="212">
        <v>64.8</v>
      </c>
      <c r="AD282" s="203">
        <f>ROUND((AC282-AB282)/(AC270-AB270),4)</f>
        <v>6.1000000000000004E-3</v>
      </c>
      <c r="AE282" s="217">
        <f>ROUND(AB282-AB270*AD282,2)</f>
        <v>25.12</v>
      </c>
      <c r="AF282" s="211">
        <v>55.9</v>
      </c>
      <c r="AG282" s="212">
        <v>68.099999999999994</v>
      </c>
      <c r="AH282" s="203">
        <f>ROUND((AG282-AF282)/(AG270-AF270),4)</f>
        <v>7.1999999999999998E-3</v>
      </c>
      <c r="AI282" s="217">
        <f>ROUND(AF282-AF270*AH282,2)</f>
        <v>21.34</v>
      </c>
      <c r="AJ282" s="211">
        <v>66.900000000000006</v>
      </c>
      <c r="AK282" s="212">
        <v>81.599999999999994</v>
      </c>
      <c r="AL282" s="203">
        <f>ROUND((AK282-AJ282)/(AK270-AJ270),4)</f>
        <v>8.6E-3</v>
      </c>
      <c r="AM282" s="217">
        <f>ROUND(AJ282-AJ270*AL282,2)</f>
        <v>25.62</v>
      </c>
      <c r="AN282" s="211">
        <v>69.2</v>
      </c>
      <c r="AO282" s="212">
        <v>84.2</v>
      </c>
      <c r="AP282" s="203">
        <f>ROUND((AO282-AN282)/(AO270-AN270),4)</f>
        <v>8.8000000000000005E-3</v>
      </c>
      <c r="AQ282" s="217">
        <f>ROUND(AN282-AN270*AP282,2)</f>
        <v>26.96</v>
      </c>
      <c r="AR282" s="211">
        <v>75.599999999999994</v>
      </c>
      <c r="AS282" s="212">
        <v>91.6</v>
      </c>
      <c r="AT282" s="203">
        <f>ROUND((AS282-AR282)/(AS270-AR270),4)</f>
        <v>9.4000000000000004E-3</v>
      </c>
      <c r="AU282" s="217">
        <f>ROUND(AR282-AR270*AT282,2)</f>
        <v>30.48</v>
      </c>
    </row>
    <row r="283" spans="1:47">
      <c r="D283" s="133">
        <v>14</v>
      </c>
      <c r="E283" s="133">
        <v>25</v>
      </c>
      <c r="F283" s="203">
        <f>INDEX($R271:$AU285,$D283,1+VLOOKUP($B271,$B$351:$E$368,4,FALSE))</f>
        <v>3.7000000000000002E-3</v>
      </c>
      <c r="G283" s="203">
        <f>INDEX($R271:$AU285,$D283,2+VLOOKUP($B271,$B$351:$E$368,4,FALSE))</f>
        <v>14.99</v>
      </c>
      <c r="H283" s="203">
        <f>INDEX($R271:$AU285,$D283,5+VLOOKUP($B271,$B$351:$E$368,4,FALSE))</f>
        <v>4.7000000000000002E-3</v>
      </c>
      <c r="I283" s="203">
        <f>INDEX($R271:$AU285,$D283,6+VLOOKUP($B271,$B$351:$E$368,4,FALSE))</f>
        <v>18.79</v>
      </c>
      <c r="J283" s="203">
        <f>INDEX($R271:$AU285,$D283,9+VLOOKUP($B271,$B$351:$E$368,4,FALSE))</f>
        <v>4.8999999999999998E-3</v>
      </c>
      <c r="K283" s="203">
        <f>INDEX($R271:$AU285,$D283,10+VLOOKUP($B271,$B$351:$E$368,4,FALSE))</f>
        <v>18.98</v>
      </c>
      <c r="L283" s="203">
        <f>INDEX($R271:$AU285,$D283,13+VLOOKUP($B271,$B$351:$E$368,4,FALSE))</f>
        <v>5.0000000000000001E-3</v>
      </c>
      <c r="M283" s="203">
        <f>INDEX($R271:$AU285,$D283,14+VLOOKUP($B271,$B$351:$E$368,4,FALSE))</f>
        <v>22.17</v>
      </c>
      <c r="O283" s="215">
        <v>20</v>
      </c>
      <c r="P283" s="211">
        <v>36.8333333333334</v>
      </c>
      <c r="Q283" s="212">
        <v>43.959999999999901</v>
      </c>
      <c r="R283" s="203">
        <f>ROUND((Q283-P283)/(Q270-P270),4)</f>
        <v>4.1999999999999997E-3</v>
      </c>
      <c r="S283" s="217">
        <f>ROUND(P283-P270*R283,2)</f>
        <v>16.670000000000002</v>
      </c>
      <c r="T283" s="211">
        <v>45.44</v>
      </c>
      <c r="U283" s="212">
        <v>54.293333333333401</v>
      </c>
      <c r="V283" s="203">
        <f>ROUND((U283-T283)/(U270-T270),4)</f>
        <v>5.1999999999999998E-3</v>
      </c>
      <c r="W283" s="217">
        <f>ROUND(T283-T270*V283,2)</f>
        <v>20.48</v>
      </c>
      <c r="X283" s="211">
        <v>46.600000000000101</v>
      </c>
      <c r="Y283" s="212">
        <v>55.706666666666699</v>
      </c>
      <c r="Z283" s="203">
        <f>ROUND((Y283-X283)/(Y270-X270),4)</f>
        <v>5.4000000000000003E-3</v>
      </c>
      <c r="AA283" s="217">
        <f>ROUND(X283-X270*Z283,2)</f>
        <v>20.68</v>
      </c>
      <c r="AB283" s="211">
        <v>50.286666666666697</v>
      </c>
      <c r="AC283" s="212">
        <v>59.726666666666702</v>
      </c>
      <c r="AD283" s="203">
        <f>ROUND((AC283-AB283)/(AC270-AB270),4)</f>
        <v>5.5999999999999999E-3</v>
      </c>
      <c r="AE283" s="217">
        <f>ROUND(AB283-AB270*AD283,2)</f>
        <v>23.41</v>
      </c>
      <c r="AF283" s="211">
        <v>50.613333333333301</v>
      </c>
      <c r="AG283" s="212">
        <v>61.6527777777778</v>
      </c>
      <c r="AH283" s="203">
        <f>ROUND((AG283-AF283)/(AG270-AF270),4)</f>
        <v>6.4999999999999997E-3</v>
      </c>
      <c r="AI283" s="217">
        <f>ROUND(AF283-AF270*AH283,2)</f>
        <v>19.41</v>
      </c>
      <c r="AJ283" s="211">
        <v>61.766666666666701</v>
      </c>
      <c r="AK283" s="212">
        <v>75.426666666666705</v>
      </c>
      <c r="AL283" s="203">
        <f>ROUND((AK283-AJ283)/(AK270-AJ270),4)</f>
        <v>8.0000000000000002E-3</v>
      </c>
      <c r="AM283" s="217">
        <f>ROUND(AJ283-AJ270*AL283,2)</f>
        <v>23.37</v>
      </c>
      <c r="AN283" s="211">
        <v>63.853333333333403</v>
      </c>
      <c r="AO283" s="212">
        <v>77.726666666666603</v>
      </c>
      <c r="AP283" s="203">
        <f>ROUND((AO283-AN283)/(AO270-AN270),4)</f>
        <v>8.2000000000000007E-3</v>
      </c>
      <c r="AQ283" s="217">
        <f>ROUND(AN283-AN270*AP283,2)</f>
        <v>24.49</v>
      </c>
      <c r="AR283" s="211">
        <v>70.253333333333302</v>
      </c>
      <c r="AS283" s="212">
        <v>85.273333333333298</v>
      </c>
      <c r="AT283" s="203">
        <f>ROUND((AS283-AR283)/(AS270-AR270),4)</f>
        <v>8.8000000000000005E-3</v>
      </c>
      <c r="AU283" s="217">
        <f>ROUND(AR283-AR270*AT283,2)</f>
        <v>28.01</v>
      </c>
    </row>
    <row r="284" spans="1:47">
      <c r="D284" s="133">
        <v>15</v>
      </c>
      <c r="E284" s="133">
        <v>30</v>
      </c>
      <c r="F284" s="203">
        <f>INDEX($R271:$AU285,$D284,1+VLOOKUP($B271,$B$351:$E$368,4,FALSE))</f>
        <v>3.2000000000000002E-3</v>
      </c>
      <c r="G284" s="203">
        <f>INDEX($R271:$AU285,$D284,2+VLOOKUP($B271,$B$351:$E$368,4,FALSE))</f>
        <v>13.3</v>
      </c>
      <c r="H284" s="203">
        <f>INDEX($R271:$AU285,$D284,5+VLOOKUP($B271,$B$351:$E$368,4,FALSE))</f>
        <v>4.1999999999999997E-3</v>
      </c>
      <c r="I284" s="203">
        <f>INDEX($R271:$AU285,$D284,6+VLOOKUP($B271,$B$351:$E$368,4,FALSE))</f>
        <v>17.11</v>
      </c>
      <c r="J284" s="203">
        <f>INDEX($R271:$AU285,$D284,9+VLOOKUP($B271,$B$351:$E$368,4,FALSE))</f>
        <v>4.4000000000000003E-3</v>
      </c>
      <c r="K284" s="203">
        <f>INDEX($R271:$AU285,$D284,10+VLOOKUP($B271,$B$351:$E$368,4,FALSE))</f>
        <v>17.28</v>
      </c>
      <c r="L284" s="203">
        <f>INDEX($R271:$AU285,$D284,13+VLOOKUP($B271,$B$351:$E$368,4,FALSE))</f>
        <v>4.4999999999999997E-3</v>
      </c>
      <c r="M284" s="203">
        <f>INDEX($R271:$AU285,$D284,14+VLOOKUP($B271,$B$351:$E$368,4,FALSE))</f>
        <v>20.45</v>
      </c>
      <c r="O284" s="215">
        <v>25</v>
      </c>
      <c r="P284" s="211">
        <v>32.7484848484849</v>
      </c>
      <c r="Q284" s="212">
        <v>39.025454545454501</v>
      </c>
      <c r="R284" s="203">
        <f>ROUND((Q284-P284)/(Q270-P270),4)</f>
        <v>3.7000000000000002E-3</v>
      </c>
      <c r="S284" s="217">
        <f>ROUND(P284-P270*R284,2)</f>
        <v>14.99</v>
      </c>
      <c r="T284" s="211">
        <v>41.3527272727273</v>
      </c>
      <c r="U284" s="212">
        <v>49.339393939394</v>
      </c>
      <c r="V284" s="203">
        <f>ROUND((U284-T284)/(U270-T270),4)</f>
        <v>4.7000000000000002E-3</v>
      </c>
      <c r="W284" s="217">
        <f>ROUND(T284-T270*V284,2)</f>
        <v>18.79</v>
      </c>
      <c r="X284" s="211">
        <v>42.500000000000099</v>
      </c>
      <c r="Y284" s="212">
        <v>50.773333333333298</v>
      </c>
      <c r="Z284" s="203">
        <f>ROUND((Y284-X284)/(Y270-X270),4)</f>
        <v>4.8999999999999998E-3</v>
      </c>
      <c r="AA284" s="217">
        <f>ROUND(X284-X270*Z284,2)</f>
        <v>18.98</v>
      </c>
      <c r="AB284" s="211">
        <v>46.166060606060597</v>
      </c>
      <c r="AC284" s="212">
        <v>54.715151515151497</v>
      </c>
      <c r="AD284" s="203">
        <f>ROUND((AC284-AB284)/(AC270-AB270),4)</f>
        <v>5.0000000000000001E-3</v>
      </c>
      <c r="AE284" s="217">
        <f>ROUND(AB284-AB270*AD284,2)</f>
        <v>22.17</v>
      </c>
      <c r="AF284" s="211">
        <v>45.295757575757598</v>
      </c>
      <c r="AG284" s="212">
        <v>55.141111111111201</v>
      </c>
      <c r="AH284" s="203">
        <f>ROUND((AG284-AF284)/(AG270-AF270),4)</f>
        <v>5.7999999999999996E-3</v>
      </c>
      <c r="AI284" s="217">
        <f>ROUND(AF284-AF270*AH284,2)</f>
        <v>17.46</v>
      </c>
      <c r="AJ284" s="211">
        <v>56.506060606060601</v>
      </c>
      <c r="AK284" s="212">
        <v>69.022424242424194</v>
      </c>
      <c r="AL284" s="203">
        <f>ROUND((AK284-AJ284)/(AK270-AJ270),4)</f>
        <v>7.4000000000000003E-3</v>
      </c>
      <c r="AM284" s="217">
        <f>ROUND(AJ284-AJ270*AL284,2)</f>
        <v>20.99</v>
      </c>
      <c r="AN284" s="211">
        <v>58.539393939394003</v>
      </c>
      <c r="AO284" s="212">
        <v>71.218787878787893</v>
      </c>
      <c r="AP284" s="203">
        <f>ROUND((AO284-AN284)/(AO270-AN270),4)</f>
        <v>7.4999999999999997E-3</v>
      </c>
      <c r="AQ284" s="217">
        <f>ROUND(AN284-AN270*AP284,2)</f>
        <v>22.54</v>
      </c>
      <c r="AR284" s="211">
        <v>64.864848484848494</v>
      </c>
      <c r="AS284" s="212">
        <v>78.706666666666706</v>
      </c>
      <c r="AT284" s="203">
        <f>ROUND((AS284-AR284)/(AS270-AR270),4)</f>
        <v>8.0999999999999996E-3</v>
      </c>
      <c r="AU284" s="217">
        <f>ROUND(AR284-AR270*AT284,2)</f>
        <v>25.98</v>
      </c>
    </row>
    <row r="285" spans="1:47" ht="15" thickBot="1">
      <c r="O285" s="216">
        <v>30</v>
      </c>
      <c r="P285" s="226">
        <v>28.6636363636364</v>
      </c>
      <c r="Q285" s="227">
        <v>34.090909090909001</v>
      </c>
      <c r="R285" s="228">
        <f>ROUND((Q285-P285)/(Q270-P270),4)</f>
        <v>3.2000000000000002E-3</v>
      </c>
      <c r="S285" s="229">
        <f>ROUND(P285-P270*R285,2)</f>
        <v>13.3</v>
      </c>
      <c r="T285" s="226">
        <v>37.265454545454602</v>
      </c>
      <c r="U285" s="227">
        <v>44.3854545454546</v>
      </c>
      <c r="V285" s="228">
        <f>ROUND((U285-T285)/(U270-T270),4)</f>
        <v>4.1999999999999997E-3</v>
      </c>
      <c r="W285" s="229">
        <f>ROUND(T285-T270*V285,2)</f>
        <v>17.11</v>
      </c>
      <c r="X285" s="226">
        <v>38.400000000000098</v>
      </c>
      <c r="Y285" s="227">
        <v>45.84</v>
      </c>
      <c r="Z285" s="228">
        <f>ROUND((Y285-X285)/(Y270-X270),4)</f>
        <v>4.4000000000000003E-3</v>
      </c>
      <c r="AA285" s="229">
        <f>ROUND(X285-X270*Z285,2)</f>
        <v>17.28</v>
      </c>
      <c r="AB285" s="226">
        <v>42.045454545454596</v>
      </c>
      <c r="AC285" s="227">
        <v>49.703636363636399</v>
      </c>
      <c r="AD285" s="228">
        <f>ROUND((AC285-AB285)/(AC270-AB270),4)</f>
        <v>4.4999999999999997E-3</v>
      </c>
      <c r="AE285" s="229">
        <f>ROUND(AB285-AB270*AD285,2)</f>
        <v>20.45</v>
      </c>
      <c r="AF285" s="226">
        <v>39.978181818181802</v>
      </c>
      <c r="AG285" s="227">
        <v>48.629444444444502</v>
      </c>
      <c r="AH285" s="228">
        <f>ROUND((AG285-AF285)/(AG270-AF270),4)</f>
        <v>5.1000000000000004E-3</v>
      </c>
      <c r="AI285" s="229">
        <f>ROUND(AF285-AF270*AH285,2)</f>
        <v>15.5</v>
      </c>
      <c r="AJ285" s="226">
        <v>51.245454545454599</v>
      </c>
      <c r="AK285" s="227">
        <v>62.618181818181803</v>
      </c>
      <c r="AL285" s="228">
        <f>ROUND((AK285-AJ285)/(AK270-AJ270),4)</f>
        <v>6.7000000000000002E-3</v>
      </c>
      <c r="AM285" s="229">
        <f>ROUND(AJ285-AJ270*AL285,2)</f>
        <v>19.09</v>
      </c>
      <c r="AN285" s="226">
        <v>53.225454545454603</v>
      </c>
      <c r="AO285" s="227">
        <v>64.710909090909098</v>
      </c>
      <c r="AP285" s="228">
        <f>ROUND((AO285-AN285)/(AO270-AN270),4)</f>
        <v>6.7999999999999996E-3</v>
      </c>
      <c r="AQ285" s="229">
        <f>ROUND(AN285-AN270*AP285,2)</f>
        <v>20.59</v>
      </c>
      <c r="AR285" s="226">
        <v>59.476363636363601</v>
      </c>
      <c r="AS285" s="227">
        <v>72.14</v>
      </c>
      <c r="AT285" s="228">
        <f>ROUND((AS285-AR285)/(AS270-AR270),4)</f>
        <v>7.4000000000000003E-3</v>
      </c>
      <c r="AU285" s="229">
        <f>ROUND(AR285-AR270*AT285,2)</f>
        <v>23.96</v>
      </c>
    </row>
    <row r="286" spans="1:47" ht="15" thickBot="1">
      <c r="O286" s="224"/>
      <c r="P286" s="225"/>
      <c r="Q286" s="225"/>
      <c r="R286" s="225"/>
      <c r="S286" s="225"/>
      <c r="T286" s="225"/>
      <c r="U286" s="225"/>
      <c r="V286" s="225"/>
      <c r="W286" s="225"/>
      <c r="X286" s="225"/>
      <c r="Y286" s="225"/>
      <c r="Z286" s="225"/>
      <c r="AA286" s="225"/>
      <c r="AB286" s="225"/>
      <c r="AC286" s="225"/>
      <c r="AD286" s="225"/>
      <c r="AE286" s="225"/>
      <c r="AF286" s="225"/>
      <c r="AG286" s="225"/>
      <c r="AH286" s="225"/>
      <c r="AI286" s="225"/>
      <c r="AJ286" s="225"/>
      <c r="AK286" s="225"/>
      <c r="AL286" s="225"/>
      <c r="AM286" s="225"/>
      <c r="AN286" s="225"/>
      <c r="AO286" s="225"/>
      <c r="AP286" s="225"/>
      <c r="AQ286" s="225"/>
      <c r="AR286" s="225"/>
      <c r="AS286" s="225"/>
      <c r="AT286" s="225"/>
      <c r="AU286" s="225"/>
    </row>
    <row r="287" spans="1:47" ht="15" thickBot="1">
      <c r="E287" s="163"/>
      <c r="F287" s="596" t="s">
        <v>244</v>
      </c>
      <c r="G287" s="597"/>
      <c r="H287" s="597" t="s">
        <v>245</v>
      </c>
      <c r="I287" s="597"/>
      <c r="J287" s="597" t="s">
        <v>246</v>
      </c>
      <c r="K287" s="597"/>
      <c r="L287" s="597" t="s">
        <v>247</v>
      </c>
      <c r="M287" s="598"/>
      <c r="O287" s="204" t="s">
        <v>258</v>
      </c>
      <c r="P287" s="590" t="s">
        <v>296</v>
      </c>
      <c r="Q287" s="591"/>
      <c r="R287" s="591"/>
      <c r="S287" s="591"/>
      <c r="T287" s="591"/>
      <c r="U287" s="591"/>
      <c r="V287" s="591"/>
      <c r="W287" s="591"/>
      <c r="X287" s="591"/>
      <c r="Y287" s="591"/>
      <c r="Z287" s="591"/>
      <c r="AA287" s="591"/>
      <c r="AB287" s="591"/>
      <c r="AC287" s="591"/>
      <c r="AD287" s="591"/>
      <c r="AE287" s="592"/>
      <c r="AF287" s="590" t="s">
        <v>297</v>
      </c>
      <c r="AG287" s="591"/>
      <c r="AH287" s="591"/>
      <c r="AI287" s="591"/>
      <c r="AJ287" s="591"/>
      <c r="AK287" s="591"/>
      <c r="AL287" s="591"/>
      <c r="AM287" s="591"/>
      <c r="AN287" s="591"/>
      <c r="AO287" s="591"/>
      <c r="AP287" s="591"/>
      <c r="AQ287" s="591"/>
      <c r="AR287" s="591"/>
      <c r="AS287" s="591"/>
      <c r="AT287" s="591"/>
      <c r="AU287" s="592"/>
    </row>
    <row r="288" spans="1:47" ht="15" thickBot="1">
      <c r="E288" s="163"/>
      <c r="F288" s="221" t="s">
        <v>66</v>
      </c>
      <c r="G288" s="222" t="s">
        <v>249</v>
      </c>
      <c r="H288" s="222" t="s">
        <v>66</v>
      </c>
      <c r="I288" s="222" t="s">
        <v>249</v>
      </c>
      <c r="J288" s="222" t="s">
        <v>66</v>
      </c>
      <c r="K288" s="222" t="s">
        <v>249</v>
      </c>
      <c r="L288" s="222" t="s">
        <v>66</v>
      </c>
      <c r="M288" s="223" t="s">
        <v>249</v>
      </c>
      <c r="O288" s="205" t="s">
        <v>251</v>
      </c>
      <c r="P288" s="593" t="s">
        <v>276</v>
      </c>
      <c r="Q288" s="594"/>
      <c r="R288" s="594"/>
      <c r="S288" s="595"/>
      <c r="T288" s="593" t="s">
        <v>277</v>
      </c>
      <c r="U288" s="594"/>
      <c r="V288" s="594"/>
      <c r="W288" s="595"/>
      <c r="X288" s="593" t="s">
        <v>278</v>
      </c>
      <c r="Y288" s="594"/>
      <c r="Z288" s="594"/>
      <c r="AA288" s="595"/>
      <c r="AB288" s="593" t="s">
        <v>279</v>
      </c>
      <c r="AC288" s="594"/>
      <c r="AD288" s="594"/>
      <c r="AE288" s="595"/>
      <c r="AF288" s="593" t="s">
        <v>276</v>
      </c>
      <c r="AG288" s="594"/>
      <c r="AH288" s="594"/>
      <c r="AI288" s="595"/>
      <c r="AJ288" s="593" t="s">
        <v>277</v>
      </c>
      <c r="AK288" s="594"/>
      <c r="AL288" s="594"/>
      <c r="AM288" s="595"/>
      <c r="AN288" s="593" t="s">
        <v>278</v>
      </c>
      <c r="AO288" s="594"/>
      <c r="AP288" s="594"/>
      <c r="AQ288" s="595"/>
      <c r="AR288" s="593" t="s">
        <v>279</v>
      </c>
      <c r="AS288" s="594"/>
      <c r="AT288" s="594"/>
      <c r="AU288" s="595"/>
    </row>
    <row r="289" spans="1:47" ht="15" thickBot="1">
      <c r="A289" t="s">
        <v>248</v>
      </c>
      <c r="B289" s="163" t="e">
        <f>Задача_Расход</f>
        <v>#REF!</v>
      </c>
      <c r="D289" s="133">
        <v>1</v>
      </c>
      <c r="E289" s="133">
        <v>-40</v>
      </c>
      <c r="F289" s="220">
        <f>INDEX($R290:$AU304,$D289,1+VLOOKUP($B290,$B$351:$E$368,4,FALSE))</f>
        <v>1.49E-2</v>
      </c>
      <c r="G289" s="220">
        <f>INDEX($R290:$AU304,$D289,2+VLOOKUP($B290,$B$351:$E$368,4,FALSE))</f>
        <v>42.9</v>
      </c>
      <c r="H289" s="220">
        <f>INDEX($R290:$AU304,$D289,5+VLOOKUP($B290,$B$351:$E$368,4,FALSE))</f>
        <v>1.61E-2</v>
      </c>
      <c r="I289" s="220">
        <f>INDEX($R290:$AU304,$D289,6+VLOOKUP($B290,$B$351:$E$368,4,FALSE))</f>
        <v>47.61</v>
      </c>
      <c r="J289" s="220">
        <f>INDEX($R290:$AU304,$D289,9+VLOOKUP($B290,$B$351:$E$368,4,FALSE))</f>
        <v>1.66E-2</v>
      </c>
      <c r="K289" s="220">
        <f>INDEX($R290:$AU304,$D289,10+VLOOKUP($B290,$B$351:$E$368,4,FALSE))</f>
        <v>47.94</v>
      </c>
      <c r="L289" s="220">
        <f>INDEX($R290:$AU304,$D289,13+VLOOKUP($B290,$B$351:$E$368,4,FALSE))</f>
        <v>1.72E-2</v>
      </c>
      <c r="M289" s="220">
        <f>INDEX($R290:$AU304,$D289,14+VLOOKUP($B290,$B$351:$E$368,4,FALSE))</f>
        <v>52.36</v>
      </c>
      <c r="O289" s="206" t="s">
        <v>248</v>
      </c>
      <c r="P289" s="207">
        <v>4800</v>
      </c>
      <c r="Q289" s="208">
        <v>6500</v>
      </c>
      <c r="R289" s="208"/>
      <c r="S289" s="209"/>
      <c r="T289" s="207">
        <v>4800</v>
      </c>
      <c r="U289" s="208">
        <v>6500</v>
      </c>
      <c r="V289" s="208"/>
      <c r="W289" s="209"/>
      <c r="X289" s="207">
        <v>4800</v>
      </c>
      <c r="Y289" s="208">
        <v>6500</v>
      </c>
      <c r="Z289" s="208"/>
      <c r="AA289" s="209"/>
      <c r="AB289" s="207">
        <v>4800</v>
      </c>
      <c r="AC289" s="208">
        <v>6500</v>
      </c>
      <c r="AD289" s="208"/>
      <c r="AE289" s="209"/>
      <c r="AF289" s="207">
        <v>4800</v>
      </c>
      <c r="AG289" s="208">
        <v>6500</v>
      </c>
      <c r="AH289" s="208"/>
      <c r="AI289" s="209"/>
      <c r="AJ289" s="207">
        <v>4800</v>
      </c>
      <c r="AK289" s="208">
        <v>6500</v>
      </c>
      <c r="AL289" s="208"/>
      <c r="AM289" s="209"/>
      <c r="AN289" s="207">
        <v>4800</v>
      </c>
      <c r="AO289" s="208">
        <v>6500</v>
      </c>
      <c r="AP289" s="208"/>
      <c r="AQ289" s="209"/>
      <c r="AR289" s="207">
        <v>4800</v>
      </c>
      <c r="AS289" s="208">
        <v>6500</v>
      </c>
      <c r="AT289" s="208"/>
      <c r="AU289" s="209"/>
    </row>
    <row r="290" spans="1:47">
      <c r="A290" t="s">
        <v>250</v>
      </c>
      <c r="B290" s="163" t="s">
        <v>281</v>
      </c>
      <c r="D290" s="133">
        <v>2</v>
      </c>
      <c r="E290" s="133">
        <v>-35</v>
      </c>
      <c r="F290" s="203">
        <f>INDEX($R290:$AU304,$D290,1+VLOOKUP($B290,$B$351:$E$368,4,FALSE))</f>
        <v>1.4200000000000001E-2</v>
      </c>
      <c r="G290" s="203">
        <f>INDEX($R290:$AU304,$D290,2+VLOOKUP($B290,$B$351:$E$368,4,FALSE))</f>
        <v>40.950000000000003</v>
      </c>
      <c r="H290" s="203">
        <f>INDEX($R290:$AU304,$D290,5+VLOOKUP($B290,$B$351:$E$368,4,FALSE))</f>
        <v>1.54E-2</v>
      </c>
      <c r="I290" s="203">
        <f>INDEX($R290:$AU304,$D290,6+VLOOKUP($B290,$B$351:$E$368,4,FALSE))</f>
        <v>45.71</v>
      </c>
      <c r="J290" s="203">
        <f>INDEX($R290:$AU304,$D290,9+VLOOKUP($B290,$B$351:$E$368,4,FALSE))</f>
        <v>1.5900000000000001E-2</v>
      </c>
      <c r="K290" s="203">
        <f>INDEX($R290:$AU304,$D290,10+VLOOKUP($B290,$B$351:$E$368,4,FALSE))</f>
        <v>45.99</v>
      </c>
      <c r="L290" s="203">
        <f>INDEX($R290:$AU304,$D290,13+VLOOKUP($B290,$B$351:$E$368,4,FALSE))</f>
        <v>1.6500000000000001E-2</v>
      </c>
      <c r="M290" s="203">
        <f>INDEX($R290:$AU304,$D290,14+VLOOKUP($B290,$B$351:$E$368,4,FALSE))</f>
        <v>50.33</v>
      </c>
      <c r="O290" s="210">
        <v>-40</v>
      </c>
      <c r="P290" s="211">
        <v>85.851515151515102</v>
      </c>
      <c r="Q290" s="212">
        <v>103.174545454545</v>
      </c>
      <c r="R290" s="203">
        <f>ROUND((Q290-P290)/(Q289-P289),4)</f>
        <v>1.0200000000000001E-2</v>
      </c>
      <c r="S290" s="217">
        <f>ROUND(P290-P289*R290,2)</f>
        <v>36.89</v>
      </c>
      <c r="T290" s="211">
        <v>94.487272727272696</v>
      </c>
      <c r="U290" s="212">
        <v>113.740606060606</v>
      </c>
      <c r="V290" s="203">
        <f>ROUND((U290-T290)/(U289-T289),4)</f>
        <v>1.1299999999999999E-2</v>
      </c>
      <c r="W290" s="217">
        <f>ROUND(T290-T289*V290,2)</f>
        <v>40.25</v>
      </c>
      <c r="X290" s="211">
        <v>95.8</v>
      </c>
      <c r="Y290" s="212">
        <v>114.90666666666699</v>
      </c>
      <c r="Z290" s="203">
        <f>ROUND((Y290-X290)/(Y289-X289),4)</f>
        <v>1.12E-2</v>
      </c>
      <c r="AA290" s="217">
        <f>ROUND(X290-X289*Z290,2)</f>
        <v>42.04</v>
      </c>
      <c r="AB290" s="211">
        <v>99.733939393939394</v>
      </c>
      <c r="AC290" s="212">
        <v>119.864848484848</v>
      </c>
      <c r="AD290" s="203">
        <f>ROUND((AC290-AB290)/(AC289-AB289),4)</f>
        <v>1.18E-2</v>
      </c>
      <c r="AE290" s="217">
        <f>ROUND(AB290-AB289*AD290,2)</f>
        <v>43.09</v>
      </c>
      <c r="AF290" s="211">
        <v>114.424242424242</v>
      </c>
      <c r="AG290" s="212">
        <v>139.79277777777801</v>
      </c>
      <c r="AH290" s="203">
        <f>ROUND((AG290-AF290)/(AG289-AF289),4)</f>
        <v>1.49E-2</v>
      </c>
      <c r="AI290" s="217">
        <f>ROUND(AF290-AF289*AH290,2)</f>
        <v>42.9</v>
      </c>
      <c r="AJ290" s="211">
        <v>124.89393939393899</v>
      </c>
      <c r="AK290" s="212">
        <v>152.27757575757599</v>
      </c>
      <c r="AL290" s="203">
        <f>ROUND((AK290-AJ290)/(AK289-AJ289),4)</f>
        <v>1.61E-2</v>
      </c>
      <c r="AM290" s="217">
        <f>ROUND(AJ290-AJ289*AL290,2)</f>
        <v>47.61</v>
      </c>
      <c r="AN290" s="211">
        <v>127.62060606060599</v>
      </c>
      <c r="AO290" s="212">
        <v>155.821212121212</v>
      </c>
      <c r="AP290" s="203">
        <f>ROUND((AO290-AN290)/(AO289-AN289),4)</f>
        <v>1.66E-2</v>
      </c>
      <c r="AQ290" s="217">
        <f>ROUND(AN290-AN289*AP290,2)</f>
        <v>47.94</v>
      </c>
      <c r="AR290" s="211">
        <v>134.91515151515199</v>
      </c>
      <c r="AS290" s="212">
        <v>164.07333333333301</v>
      </c>
      <c r="AT290" s="203">
        <f>ROUND((AS290-AR290)/(AS289-AR289),4)</f>
        <v>1.72E-2</v>
      </c>
      <c r="AU290" s="217">
        <f>ROUND(AR290-AR289*AT290,2)</f>
        <v>52.36</v>
      </c>
    </row>
    <row r="291" spans="1:47">
      <c r="A291" t="s">
        <v>251</v>
      </c>
      <c r="B291" s="163" t="e">
        <f>Задача_НагревательТеплоноситель</f>
        <v>#REF!</v>
      </c>
      <c r="D291" s="133">
        <v>3</v>
      </c>
      <c r="E291" s="133">
        <v>-30</v>
      </c>
      <c r="F291" s="203">
        <f>INDEX($R290:$AU304,$D291,1+VLOOKUP($B290,$B$351:$E$368,4,FALSE))</f>
        <v>1.34E-2</v>
      </c>
      <c r="G291" s="203">
        <f>INDEX($R290:$AU304,$D291,2+VLOOKUP($B290,$B$351:$E$368,4,FALSE))</f>
        <v>39.68</v>
      </c>
      <c r="H291" s="203">
        <f>INDEX($R290:$AU304,$D291,5+VLOOKUP($B290,$B$351:$E$368,4,FALSE))</f>
        <v>1.47E-2</v>
      </c>
      <c r="I291" s="203">
        <f>INDEX($R290:$AU304,$D291,6+VLOOKUP($B290,$B$351:$E$368,4,FALSE))</f>
        <v>44.44</v>
      </c>
      <c r="J291" s="203">
        <f>INDEX($R290:$AU304,$D291,9+VLOOKUP($B290,$B$351:$E$368,4,FALSE))</f>
        <v>1.5299999999999999E-2</v>
      </c>
      <c r="K291" s="203">
        <f>INDEX($R290:$AU304,$D291,10+VLOOKUP($B290,$B$351:$E$368,4,FALSE))</f>
        <v>43.56</v>
      </c>
      <c r="L291" s="203">
        <f>INDEX($R290:$AU304,$D291,13+VLOOKUP($B290,$B$351:$E$368,4,FALSE))</f>
        <v>1.5900000000000001E-2</v>
      </c>
      <c r="M291" s="203">
        <f>INDEX($R290:$AU304,$D291,14+VLOOKUP($B290,$B$351:$E$368,4,FALSE))</f>
        <v>47.68</v>
      </c>
      <c r="O291" s="215">
        <v>-35</v>
      </c>
      <c r="P291" s="211">
        <v>81.766666666666694</v>
      </c>
      <c r="Q291" s="212">
        <v>98.24</v>
      </c>
      <c r="R291" s="203">
        <f>ROUND((Q291-P291)/(Q289-P289),4)</f>
        <v>9.7000000000000003E-3</v>
      </c>
      <c r="S291" s="217">
        <f>ROUND(P291-P289*R291,2)</f>
        <v>35.21</v>
      </c>
      <c r="T291" s="211">
        <v>90.4</v>
      </c>
      <c r="U291" s="212">
        <v>108.786666666667</v>
      </c>
      <c r="V291" s="203">
        <f>ROUND((U291-T291)/(U289-T289),4)</f>
        <v>1.0800000000000001E-2</v>
      </c>
      <c r="W291" s="217">
        <f>ROUND(T291-T289*V291,2)</f>
        <v>38.56</v>
      </c>
      <c r="X291" s="211">
        <v>91.7</v>
      </c>
      <c r="Y291" s="212">
        <v>109.973333333333</v>
      </c>
      <c r="Z291" s="203">
        <f>ROUND((Y291-X291)/(Y289-X289),4)</f>
        <v>1.0699999999999999E-2</v>
      </c>
      <c r="AA291" s="217">
        <f>ROUND(X291-X289*Z291,2)</f>
        <v>40.340000000000003</v>
      </c>
      <c r="AB291" s="211">
        <v>95.613333333333301</v>
      </c>
      <c r="AC291" s="212">
        <v>114.853333333333</v>
      </c>
      <c r="AD291" s="203">
        <f>ROUND((AC291-AB291)/(AC289-AB289),4)</f>
        <v>1.1299999999999999E-2</v>
      </c>
      <c r="AE291" s="217">
        <f>ROUND(AB291-AB289*AD291,2)</f>
        <v>41.37</v>
      </c>
      <c r="AF291" s="211">
        <v>109.106666666667</v>
      </c>
      <c r="AG291" s="212">
        <v>133.28111111111099</v>
      </c>
      <c r="AH291" s="203">
        <f>ROUND((AG291-AF291)/(AG289-AF289),4)</f>
        <v>1.4200000000000001E-2</v>
      </c>
      <c r="AI291" s="217">
        <f>ROUND(AF291-AF289*AH291,2)</f>
        <v>40.950000000000003</v>
      </c>
      <c r="AJ291" s="211">
        <v>119.633333333333</v>
      </c>
      <c r="AK291" s="212">
        <v>145.87333333333299</v>
      </c>
      <c r="AL291" s="203">
        <f>ROUND((AK291-AJ291)/(AK289-AJ289),4)</f>
        <v>1.54E-2</v>
      </c>
      <c r="AM291" s="217">
        <f>ROUND(AJ291-AJ289*AL291,2)</f>
        <v>45.71</v>
      </c>
      <c r="AN291" s="211">
        <v>122.306666666667</v>
      </c>
      <c r="AO291" s="212">
        <v>149.31333333333299</v>
      </c>
      <c r="AP291" s="203">
        <f>ROUND((AO291-AN291)/(AO289-AN289),4)</f>
        <v>1.5900000000000001E-2</v>
      </c>
      <c r="AQ291" s="217">
        <f>ROUND(AN291-AN289*AP291,2)</f>
        <v>45.99</v>
      </c>
      <c r="AR291" s="211">
        <v>129.52666666666701</v>
      </c>
      <c r="AS291" s="212">
        <v>157.506666666667</v>
      </c>
      <c r="AT291" s="203">
        <f>ROUND((AS291-AR291)/(AS289-AR289),4)</f>
        <v>1.6500000000000001E-2</v>
      </c>
      <c r="AU291" s="217">
        <f>ROUND(AR291-AR289*AT291,2)</f>
        <v>50.33</v>
      </c>
    </row>
    <row r="292" spans="1:47">
      <c r="A292" t="s">
        <v>253</v>
      </c>
      <c r="B292" s="163" t="e">
        <f>VLOOKUP("900x500",ПП_Расчет!C$10:F$19,4,0)</f>
        <v>#REF!</v>
      </c>
      <c r="D292" s="133">
        <v>4</v>
      </c>
      <c r="E292" s="133">
        <v>-25</v>
      </c>
      <c r="F292" s="203">
        <f>INDEX($R290:$AU304,$D292,1+VLOOKUP($B290,$B$351:$E$368,4,FALSE))</f>
        <v>1.2800000000000001E-2</v>
      </c>
      <c r="G292" s="203">
        <f>INDEX($R290:$AU304,$D292,2+VLOOKUP($B290,$B$351:$E$368,4,FALSE))</f>
        <v>36.86</v>
      </c>
      <c r="H292" s="203">
        <f>INDEX($R290:$AU304,$D292,5+VLOOKUP($B290,$B$351:$E$368,4,FALSE))</f>
        <v>1.41E-2</v>
      </c>
      <c r="I292" s="203">
        <f>INDEX($R290:$AU304,$D292,6+VLOOKUP($B290,$B$351:$E$368,4,FALSE))</f>
        <v>40.32</v>
      </c>
      <c r="J292" s="203">
        <f>INDEX($R290:$AU304,$D292,9+VLOOKUP($B290,$B$351:$E$368,4,FALSE))</f>
        <v>1.41E-2</v>
      </c>
      <c r="K292" s="203">
        <f>INDEX($R290:$AU304,$D292,10+VLOOKUP($B290,$B$351:$E$368,4,FALSE))</f>
        <v>44.32</v>
      </c>
      <c r="L292" s="203">
        <f>INDEX($R290:$AU304,$D292,13+VLOOKUP($B290,$B$351:$E$368,4,FALSE))</f>
        <v>1.47E-2</v>
      </c>
      <c r="M292" s="203">
        <f>INDEX($R290:$AU304,$D292,14+VLOOKUP($B290,$B$351:$E$368,4,FALSE))</f>
        <v>48.44</v>
      </c>
      <c r="O292" s="215">
        <v>-30</v>
      </c>
      <c r="P292" s="211">
        <v>77.7</v>
      </c>
      <c r="Q292" s="212">
        <v>93.3</v>
      </c>
      <c r="R292" s="203">
        <f>ROUND((Q292-P292)/(Q289-P289),4)</f>
        <v>9.1999999999999998E-3</v>
      </c>
      <c r="S292" s="217">
        <f>ROUND(P292-P289*R292,2)</f>
        <v>33.54</v>
      </c>
      <c r="T292" s="211">
        <v>86.3</v>
      </c>
      <c r="U292" s="212">
        <v>104</v>
      </c>
      <c r="V292" s="203">
        <f>ROUND((U292-T292)/(U289-T289),4)</f>
        <v>1.04E-2</v>
      </c>
      <c r="W292" s="217">
        <f>ROUND(T292-T289*V292,2)</f>
        <v>36.380000000000003</v>
      </c>
      <c r="X292" s="211">
        <v>87.6</v>
      </c>
      <c r="Y292" s="212">
        <v>105</v>
      </c>
      <c r="Z292" s="203">
        <f>ROUND((Y292-X292)/(Y289-X289),4)</f>
        <v>1.0200000000000001E-2</v>
      </c>
      <c r="AA292" s="217">
        <f>ROUND(X292-X289*Z292,2)</f>
        <v>38.64</v>
      </c>
      <c r="AB292" s="211">
        <v>91.4</v>
      </c>
      <c r="AC292" s="212">
        <v>110</v>
      </c>
      <c r="AD292" s="203">
        <f>ROUND((AC292-AB292)/(AC289-AB289),4)</f>
        <v>1.09E-2</v>
      </c>
      <c r="AE292" s="217">
        <f>ROUND(AB292-AB289*AD292,2)</f>
        <v>39.08</v>
      </c>
      <c r="AF292" s="211">
        <v>104</v>
      </c>
      <c r="AG292" s="212">
        <v>126.76944444444401</v>
      </c>
      <c r="AH292" s="203">
        <f>ROUND((AG292-AF292)/(AG289-AF289),4)</f>
        <v>1.34E-2</v>
      </c>
      <c r="AI292" s="217">
        <f>ROUND(AF292-AF289*AH292,2)</f>
        <v>39.68</v>
      </c>
      <c r="AJ292" s="211">
        <v>115</v>
      </c>
      <c r="AK292" s="212">
        <v>140</v>
      </c>
      <c r="AL292" s="203">
        <f>ROUND((AK292-AJ292)/(AK289-AJ289),4)</f>
        <v>1.47E-2</v>
      </c>
      <c r="AM292" s="217">
        <f>ROUND(AJ292-AJ289*AL292,2)</f>
        <v>44.44</v>
      </c>
      <c r="AN292" s="211">
        <v>117</v>
      </c>
      <c r="AO292" s="212">
        <v>143</v>
      </c>
      <c r="AP292" s="203">
        <f>ROUND((AO292-AN292)/(AO289-AN289),4)</f>
        <v>1.5299999999999999E-2</v>
      </c>
      <c r="AQ292" s="217">
        <f>ROUND(AN292-AN289*AP292,2)</f>
        <v>43.56</v>
      </c>
      <c r="AR292" s="211">
        <v>124</v>
      </c>
      <c r="AS292" s="212">
        <v>151</v>
      </c>
      <c r="AT292" s="203">
        <f>ROUND((AS292-AR292)/(AS289-AR289),4)</f>
        <v>1.5900000000000001E-2</v>
      </c>
      <c r="AU292" s="217">
        <f>ROUND(AR292-AR289*AT292,2)</f>
        <v>47.68</v>
      </c>
    </row>
    <row r="293" spans="1:47">
      <c r="D293" s="133">
        <v>5</v>
      </c>
      <c r="E293" s="133">
        <v>-20</v>
      </c>
      <c r="F293" s="203">
        <f>INDEX($R290:$AU304,$D293,1+VLOOKUP($B290,$B$351:$E$368,4,FALSE))</f>
        <v>1.23E-2</v>
      </c>
      <c r="G293" s="203">
        <f>INDEX($R290:$AU304,$D293,2+VLOOKUP($B290,$B$351:$E$368,4,FALSE))</f>
        <v>34.06</v>
      </c>
      <c r="H293" s="203">
        <f>INDEX($R290:$AU304,$D293,5+VLOOKUP($B290,$B$351:$E$368,4,FALSE))</f>
        <v>1.35E-2</v>
      </c>
      <c r="I293" s="203">
        <f>INDEX($R290:$AU304,$D293,6+VLOOKUP($B290,$B$351:$E$368,4,FALSE))</f>
        <v>39.200000000000003</v>
      </c>
      <c r="J293" s="203">
        <f>INDEX($R290:$AU304,$D293,9+VLOOKUP($B290,$B$351:$E$368,4,FALSE))</f>
        <v>1.41E-2</v>
      </c>
      <c r="K293" s="203">
        <f>INDEX($R290:$AU304,$D293,10+VLOOKUP($B290,$B$351:$E$368,4,FALSE))</f>
        <v>38.32</v>
      </c>
      <c r="L293" s="203">
        <f>INDEX($R290:$AU304,$D293,13+VLOOKUP($B290,$B$351:$E$368,4,FALSE))</f>
        <v>1.47E-2</v>
      </c>
      <c r="M293" s="203">
        <f>INDEX($R290:$AU304,$D293,14+VLOOKUP($B290,$B$351:$E$368,4,FALSE))</f>
        <v>42.44</v>
      </c>
      <c r="O293" s="215">
        <v>-25</v>
      </c>
      <c r="P293" s="211">
        <v>73.599999999999994</v>
      </c>
      <c r="Q293" s="212">
        <v>88.4</v>
      </c>
      <c r="R293" s="203">
        <f>ROUND((Q293-P293)/(Q289-P289),4)</f>
        <v>8.6999999999999994E-3</v>
      </c>
      <c r="S293" s="217">
        <f>ROUND(P293-P289*R293,2)</f>
        <v>31.84</v>
      </c>
      <c r="T293" s="211">
        <v>82.2</v>
      </c>
      <c r="U293" s="212">
        <v>98.8</v>
      </c>
      <c r="V293" s="203">
        <f>ROUND((U293-T293)/(U289-T289),4)</f>
        <v>9.7999999999999997E-3</v>
      </c>
      <c r="W293" s="217">
        <f>ROUND(T293-T289*V293,2)</f>
        <v>35.159999999999997</v>
      </c>
      <c r="X293" s="211">
        <v>83.5</v>
      </c>
      <c r="Y293" s="212">
        <v>100</v>
      </c>
      <c r="Z293" s="203">
        <f>ROUND((Y293-X293)/(Y289-X289),4)</f>
        <v>9.7000000000000003E-3</v>
      </c>
      <c r="AA293" s="217">
        <f>ROUND(X293-X289*Z293,2)</f>
        <v>36.94</v>
      </c>
      <c r="AB293" s="211">
        <v>87.4</v>
      </c>
      <c r="AC293" s="212">
        <v>105</v>
      </c>
      <c r="AD293" s="203">
        <f>ROUND((AC293-AB293)/(AC289-AB289),4)</f>
        <v>1.04E-2</v>
      </c>
      <c r="AE293" s="217">
        <f>ROUND(AB293-AB289*AD293,2)</f>
        <v>37.479999999999997</v>
      </c>
      <c r="AF293" s="211">
        <v>98.3</v>
      </c>
      <c r="AG293" s="212">
        <v>120</v>
      </c>
      <c r="AH293" s="203">
        <f>ROUND((AG293-AF293)/(AG289-AF289),4)</f>
        <v>1.2800000000000001E-2</v>
      </c>
      <c r="AI293" s="217">
        <f>ROUND(AF293-AF289*AH293,2)</f>
        <v>36.86</v>
      </c>
      <c r="AJ293" s="211">
        <v>108</v>
      </c>
      <c r="AK293" s="212">
        <v>132</v>
      </c>
      <c r="AL293" s="203">
        <f>ROUND((AK293-AJ293)/(AK289-AJ289),4)</f>
        <v>1.41E-2</v>
      </c>
      <c r="AM293" s="217">
        <f>ROUND(AJ293-AJ289*AL293,2)</f>
        <v>40.32</v>
      </c>
      <c r="AN293" s="211">
        <v>112</v>
      </c>
      <c r="AO293" s="212">
        <v>136</v>
      </c>
      <c r="AP293" s="203">
        <f>ROUND((AO293-AN293)/(AO289-AN289),4)</f>
        <v>1.41E-2</v>
      </c>
      <c r="AQ293" s="217">
        <f>ROUND(AN293-AN289*AP293,2)</f>
        <v>44.32</v>
      </c>
      <c r="AR293" s="211">
        <v>119</v>
      </c>
      <c r="AS293" s="212">
        <v>144</v>
      </c>
      <c r="AT293" s="203">
        <f>ROUND((AS293-AR293)/(AS289-AR289),4)</f>
        <v>1.47E-2</v>
      </c>
      <c r="AU293" s="217">
        <f>ROUND(AR293-AR289*AT293,2)</f>
        <v>48.44</v>
      </c>
    </row>
    <row r="294" spans="1:47">
      <c r="A294" t="s">
        <v>66</v>
      </c>
      <c r="B294" s="163" t="e">
        <f>VLOOKUP(B292,E289:M303,VLOOKUP(B291,B$345:D$348,2,FALSE))</f>
        <v>#REF!</v>
      </c>
      <c r="D294" s="133">
        <v>6</v>
      </c>
      <c r="E294" s="133">
        <v>-15</v>
      </c>
      <c r="F294" s="203">
        <f>INDEX($R290:$AU304,$D294,1+VLOOKUP($B290,$B$351:$E$368,4,FALSE))</f>
        <v>1.1299999999999999E-2</v>
      </c>
      <c r="G294" s="203">
        <f>INDEX($R290:$AU304,$D294,2+VLOOKUP($B290,$B$351:$E$368,4,FALSE))</f>
        <v>33.56</v>
      </c>
      <c r="H294" s="203">
        <f>INDEX($R290:$AU304,$D294,5+VLOOKUP($B290,$B$351:$E$368,4,FALSE))</f>
        <v>1.2500000000000001E-2</v>
      </c>
      <c r="I294" s="203">
        <f>INDEX($R290:$AU304,$D294,6+VLOOKUP($B290,$B$351:$E$368,4,FALSE))</f>
        <v>38.700000000000003</v>
      </c>
      <c r="J294" s="203">
        <f>INDEX($R290:$AU304,$D294,9+VLOOKUP($B290,$B$351:$E$368,4,FALSE))</f>
        <v>1.29E-2</v>
      </c>
      <c r="K294" s="203">
        <f>INDEX($R290:$AU304,$D294,10+VLOOKUP($B290,$B$351:$E$368,4,FALSE))</f>
        <v>39.08</v>
      </c>
      <c r="L294" s="203">
        <f>INDEX($R290:$AU304,$D294,13+VLOOKUP($B290,$B$351:$E$368,4,FALSE))</f>
        <v>1.35E-2</v>
      </c>
      <c r="M294" s="203">
        <f>INDEX($R290:$AU304,$D294,14+VLOOKUP($B290,$B$351:$E$368,4,FALSE))</f>
        <v>43.2</v>
      </c>
      <c r="O294" s="215">
        <v>-20</v>
      </c>
      <c r="P294" s="211">
        <v>69.5</v>
      </c>
      <c r="Q294" s="212">
        <v>83.4</v>
      </c>
      <c r="R294" s="203">
        <f>ROUND((Q294-P294)/(Q289-P289),4)</f>
        <v>8.2000000000000007E-3</v>
      </c>
      <c r="S294" s="217">
        <f>ROUND(P294-P289*R294,2)</f>
        <v>30.14</v>
      </c>
      <c r="T294" s="211">
        <v>78.099999999999994</v>
      </c>
      <c r="U294" s="212">
        <v>93.9</v>
      </c>
      <c r="V294" s="203">
        <f>ROUND((U294-T294)/(U289-T289),4)</f>
        <v>9.2999999999999992E-3</v>
      </c>
      <c r="W294" s="217">
        <f>ROUND(T294-T289*V294,2)</f>
        <v>33.46</v>
      </c>
      <c r="X294" s="211">
        <v>79.400000000000006</v>
      </c>
      <c r="Y294" s="212">
        <v>95.2</v>
      </c>
      <c r="Z294" s="203">
        <f>ROUND((Y294-X294)/(Y289-X289),4)</f>
        <v>9.2999999999999992E-3</v>
      </c>
      <c r="AA294" s="217">
        <f>ROUND(X294-X289*Z294,2)</f>
        <v>34.76</v>
      </c>
      <c r="AB294" s="211">
        <v>83.3</v>
      </c>
      <c r="AC294" s="212">
        <v>99.6</v>
      </c>
      <c r="AD294" s="203">
        <f>ROUND((AC294-AB294)/(AC289-AB289),4)</f>
        <v>9.5999999999999992E-3</v>
      </c>
      <c r="AE294" s="217">
        <f>ROUND(AB294-AB289*AD294,2)</f>
        <v>37.22</v>
      </c>
      <c r="AF294" s="211">
        <v>93.1</v>
      </c>
      <c r="AG294" s="212">
        <v>114</v>
      </c>
      <c r="AH294" s="203">
        <f>ROUND((AG294-AF294)/(AG289-AF289),4)</f>
        <v>1.23E-2</v>
      </c>
      <c r="AI294" s="217">
        <f>ROUND(AF294-AF289*AH294,2)</f>
        <v>34.06</v>
      </c>
      <c r="AJ294" s="211">
        <v>104</v>
      </c>
      <c r="AK294" s="212">
        <v>127</v>
      </c>
      <c r="AL294" s="203">
        <f>ROUND((AK294-AJ294)/(AK289-AJ289),4)</f>
        <v>1.35E-2</v>
      </c>
      <c r="AM294" s="217">
        <f>ROUND(AJ294-AJ289*AL294,2)</f>
        <v>39.200000000000003</v>
      </c>
      <c r="AN294" s="211">
        <v>106</v>
      </c>
      <c r="AO294" s="212">
        <v>130</v>
      </c>
      <c r="AP294" s="203">
        <f>ROUND((AO294-AN294)/(AO289-AN289),4)</f>
        <v>1.41E-2</v>
      </c>
      <c r="AQ294" s="217">
        <f>ROUND(AN294-AN289*AP294,2)</f>
        <v>38.32</v>
      </c>
      <c r="AR294" s="211">
        <v>113</v>
      </c>
      <c r="AS294" s="212">
        <v>138</v>
      </c>
      <c r="AT294" s="203">
        <f>ROUND((AS294-AR294)/(AS289-AR289),4)</f>
        <v>1.47E-2</v>
      </c>
      <c r="AU294" s="217">
        <f>ROUND(AR294-AR289*AT294,2)</f>
        <v>42.44</v>
      </c>
    </row>
    <row r="295" spans="1:47">
      <c r="A295" t="s">
        <v>249</v>
      </c>
      <c r="B295" s="163" t="e">
        <f>VLOOKUP(B292,E289:M303,VLOOKUP(B291,B$345:D$348,3,FALSE))</f>
        <v>#REF!</v>
      </c>
      <c r="D295" s="133">
        <v>7</v>
      </c>
      <c r="E295" s="133">
        <v>-10</v>
      </c>
      <c r="F295" s="203">
        <f>INDEX($R290:$AU304,$D295,1+VLOOKUP($B290,$B$351:$E$368,4,FALSE))</f>
        <v>1.09E-2</v>
      </c>
      <c r="G295" s="203">
        <f>INDEX($R290:$AU304,$D295,2+VLOOKUP($B290,$B$351:$E$368,4,FALSE))</f>
        <v>30.18</v>
      </c>
      <c r="H295" s="203">
        <f>INDEX($R290:$AU304,$D295,5+VLOOKUP($B290,$B$351:$E$368,4,FALSE))</f>
        <v>1.21E-2</v>
      </c>
      <c r="I295" s="203">
        <f>INDEX($R290:$AU304,$D295,6+VLOOKUP($B290,$B$351:$E$368,4,FALSE))</f>
        <v>35.42</v>
      </c>
      <c r="J295" s="203">
        <f>INDEX($R290:$AU304,$D295,9+VLOOKUP($B290,$B$351:$E$368,4,FALSE))</f>
        <v>1.2500000000000001E-2</v>
      </c>
      <c r="K295" s="203">
        <f>INDEX($R290:$AU304,$D295,10+VLOOKUP($B290,$B$351:$E$368,4,FALSE))</f>
        <v>35.799999999999997</v>
      </c>
      <c r="L295" s="203">
        <f>INDEX($R290:$AU304,$D295,13+VLOOKUP($B290,$B$351:$E$368,4,FALSE))</f>
        <v>1.29E-2</v>
      </c>
      <c r="M295" s="203">
        <f>INDEX($R290:$AU304,$D295,14+VLOOKUP($B290,$B$351:$E$368,4,FALSE))</f>
        <v>41.08</v>
      </c>
      <c r="O295" s="215">
        <v>-15</v>
      </c>
      <c r="P295" s="211">
        <v>65.400000000000006</v>
      </c>
      <c r="Q295" s="212">
        <v>78.5</v>
      </c>
      <c r="R295" s="203">
        <f>ROUND((Q295-P295)/(Q289-P289),4)</f>
        <v>7.7000000000000002E-3</v>
      </c>
      <c r="S295" s="217">
        <f>ROUND(P295-P289*R295,2)</f>
        <v>28.44</v>
      </c>
      <c r="T295" s="211">
        <v>74.099999999999994</v>
      </c>
      <c r="U295" s="212">
        <v>88.9</v>
      </c>
      <c r="V295" s="203">
        <f>ROUND((U295-T295)/(U289-T289),4)</f>
        <v>8.6999999999999994E-3</v>
      </c>
      <c r="W295" s="217">
        <f>ROUND(T295-T289*V295,2)</f>
        <v>32.340000000000003</v>
      </c>
      <c r="X295" s="211">
        <v>75.3</v>
      </c>
      <c r="Y295" s="212">
        <v>90.3</v>
      </c>
      <c r="Z295" s="203">
        <f>ROUND((Y295-X295)/(Y289-X289),4)</f>
        <v>8.8000000000000005E-3</v>
      </c>
      <c r="AA295" s="217">
        <f>ROUND(X295-X289*Z295,2)</f>
        <v>33.06</v>
      </c>
      <c r="AB295" s="211">
        <v>79.099999999999994</v>
      </c>
      <c r="AC295" s="212">
        <v>94.7</v>
      </c>
      <c r="AD295" s="203">
        <f>ROUND((AC295-AB295)/(AC289-AB289),4)</f>
        <v>9.1999999999999998E-3</v>
      </c>
      <c r="AE295" s="217">
        <f>ROUND(AB295-AB289*AD295,2)</f>
        <v>34.94</v>
      </c>
      <c r="AF295" s="211">
        <v>87.8</v>
      </c>
      <c r="AG295" s="212">
        <v>107</v>
      </c>
      <c r="AH295" s="203">
        <f>ROUND((AG295-AF295)/(AG289-AF289),4)</f>
        <v>1.1299999999999999E-2</v>
      </c>
      <c r="AI295" s="217">
        <f>ROUND(AF295-AF289*AH295,2)</f>
        <v>33.56</v>
      </c>
      <c r="AJ295" s="211">
        <v>98.7</v>
      </c>
      <c r="AK295" s="212">
        <v>120</v>
      </c>
      <c r="AL295" s="203">
        <f>ROUND((AK295-AJ295)/(AK289-AJ289),4)</f>
        <v>1.2500000000000001E-2</v>
      </c>
      <c r="AM295" s="217">
        <f>ROUND(AJ295-AJ289*AL295,2)</f>
        <v>38.700000000000003</v>
      </c>
      <c r="AN295" s="211">
        <v>101</v>
      </c>
      <c r="AO295" s="212">
        <v>123</v>
      </c>
      <c r="AP295" s="203">
        <f>ROUND((AO295-AN295)/(AO289-AN289),4)</f>
        <v>1.29E-2</v>
      </c>
      <c r="AQ295" s="217">
        <f>ROUND(AN295-AN289*AP295,2)</f>
        <v>39.08</v>
      </c>
      <c r="AR295" s="211">
        <v>108</v>
      </c>
      <c r="AS295" s="212">
        <v>131</v>
      </c>
      <c r="AT295" s="203">
        <f>ROUND((AS295-AR295)/(AS289-AR289),4)</f>
        <v>1.35E-2</v>
      </c>
      <c r="AU295" s="217">
        <f>ROUND(AR295-AR289*AT295,2)</f>
        <v>43.2</v>
      </c>
    </row>
    <row r="296" spans="1:47">
      <c r="D296" s="133">
        <v>8</v>
      </c>
      <c r="E296" s="133">
        <v>-5</v>
      </c>
      <c r="F296" s="203">
        <f>INDEX($R290:$AU304,$D296,1+VLOOKUP($B290,$B$351:$E$368,4,FALSE))</f>
        <v>1.01E-2</v>
      </c>
      <c r="G296" s="203">
        <f>INDEX($R290:$AU304,$D296,2+VLOOKUP($B290,$B$351:$E$368,4,FALSE))</f>
        <v>28.72</v>
      </c>
      <c r="H296" s="203">
        <f>INDEX($R290:$AU304,$D296,5+VLOOKUP($B290,$B$351:$E$368,4,FALSE))</f>
        <v>1.1599999999999999E-2</v>
      </c>
      <c r="I296" s="203">
        <f>INDEX($R290:$AU304,$D296,6+VLOOKUP($B290,$B$351:$E$368,4,FALSE))</f>
        <v>32.520000000000003</v>
      </c>
      <c r="J296" s="203">
        <f>INDEX($R290:$AU304,$D296,9+VLOOKUP($B290,$B$351:$E$368,4,FALSE))</f>
        <v>1.15E-2</v>
      </c>
      <c r="K296" s="203">
        <f>INDEX($R290:$AU304,$D296,10+VLOOKUP($B290,$B$351:$E$368,4,FALSE))</f>
        <v>35.200000000000003</v>
      </c>
      <c r="L296" s="203">
        <f>INDEX($R290:$AU304,$D296,13+VLOOKUP($B290,$B$351:$E$368,4,FALSE))</f>
        <v>1.23E-2</v>
      </c>
      <c r="M296" s="203">
        <f>INDEX($R290:$AU304,$D296,14+VLOOKUP($B290,$B$351:$E$368,4,FALSE))</f>
        <v>38.06</v>
      </c>
      <c r="O296" s="215">
        <v>-10</v>
      </c>
      <c r="P296" s="211">
        <v>61.3</v>
      </c>
      <c r="Q296" s="212">
        <v>73.599999999999994</v>
      </c>
      <c r="R296" s="203">
        <f>ROUND((Q296-P296)/(Q289-P289),4)</f>
        <v>7.1999999999999998E-3</v>
      </c>
      <c r="S296" s="217">
        <f>ROUND(P296-P289*R296,2)</f>
        <v>26.74</v>
      </c>
      <c r="T296" s="211">
        <v>70</v>
      </c>
      <c r="U296" s="212">
        <v>84</v>
      </c>
      <c r="V296" s="203">
        <f>ROUND((U296-T296)/(U289-T289),4)</f>
        <v>8.2000000000000007E-3</v>
      </c>
      <c r="W296" s="217">
        <f>ROUND(T296-T289*V296,2)</f>
        <v>30.64</v>
      </c>
      <c r="X296" s="211">
        <v>71.2</v>
      </c>
      <c r="Y296" s="212">
        <v>85.4</v>
      </c>
      <c r="Z296" s="203">
        <f>ROUND((Y296-X296)/(Y289-X289),4)</f>
        <v>8.3999999999999995E-3</v>
      </c>
      <c r="AA296" s="217">
        <f>ROUND(X296-X289*Z296,2)</f>
        <v>30.88</v>
      </c>
      <c r="AB296" s="211">
        <v>75.099999999999994</v>
      </c>
      <c r="AC296" s="212">
        <v>89.7</v>
      </c>
      <c r="AD296" s="203">
        <f>ROUND((AC296-AB296)/(AC289-AB289),4)</f>
        <v>8.6E-3</v>
      </c>
      <c r="AE296" s="217">
        <f>ROUND(AB296-AB289*AD296,2)</f>
        <v>33.82</v>
      </c>
      <c r="AF296" s="211">
        <v>82.5</v>
      </c>
      <c r="AG296" s="212">
        <v>101</v>
      </c>
      <c r="AH296" s="203">
        <f>ROUND((AG296-AF296)/(AG289-AF289),4)</f>
        <v>1.09E-2</v>
      </c>
      <c r="AI296" s="217">
        <f>ROUND(AF296-AF289*AH296,2)</f>
        <v>30.18</v>
      </c>
      <c r="AJ296" s="211">
        <v>93.5</v>
      </c>
      <c r="AK296" s="212">
        <v>114</v>
      </c>
      <c r="AL296" s="203">
        <f>ROUND((AK296-AJ296)/(AK289-AJ289),4)</f>
        <v>1.21E-2</v>
      </c>
      <c r="AM296" s="217">
        <f>ROUND(AJ296-AJ289*AL296,2)</f>
        <v>35.42</v>
      </c>
      <c r="AN296" s="211">
        <v>95.8</v>
      </c>
      <c r="AO296" s="212">
        <v>117</v>
      </c>
      <c r="AP296" s="203">
        <f>ROUND((AO296-AN296)/(AO289-AN289),4)</f>
        <v>1.2500000000000001E-2</v>
      </c>
      <c r="AQ296" s="217">
        <f>ROUND(AN296-AN289*AP296,2)</f>
        <v>35.799999999999997</v>
      </c>
      <c r="AR296" s="211">
        <v>103</v>
      </c>
      <c r="AS296" s="212">
        <v>125</v>
      </c>
      <c r="AT296" s="203">
        <f>ROUND((AS296-AR296)/(AS289-AR289),4)</f>
        <v>1.29E-2</v>
      </c>
      <c r="AU296" s="217">
        <f>ROUND(AR296-AR289*AT296,2)</f>
        <v>41.08</v>
      </c>
    </row>
    <row r="297" spans="1:47">
      <c r="A297" t="s">
        <v>254</v>
      </c>
      <c r="B297" s="163" t="e">
        <f>B289*B294+B295</f>
        <v>#REF!</v>
      </c>
      <c r="D297" s="133">
        <v>9</v>
      </c>
      <c r="E297" s="133">
        <v>0</v>
      </c>
      <c r="F297" s="203">
        <f>INDEX($R290:$AU304,$D297,1+VLOOKUP($B290,$B$351:$E$368,4,FALSE))</f>
        <v>9.2999999999999992E-3</v>
      </c>
      <c r="G297" s="203">
        <f>INDEX($R290:$AU304,$D297,2+VLOOKUP($B290,$B$351:$E$368,4,FALSE))</f>
        <v>27.26</v>
      </c>
      <c r="H297" s="203">
        <f>INDEX($R290:$AU304,$D297,5+VLOOKUP($B290,$B$351:$E$368,4,FALSE))</f>
        <v>1.06E-2</v>
      </c>
      <c r="I297" s="203">
        <f>INDEX($R290:$AU304,$D297,6+VLOOKUP($B290,$B$351:$E$368,4,FALSE))</f>
        <v>32.020000000000003</v>
      </c>
      <c r="J297" s="203">
        <f>INDEX($R290:$AU304,$D297,9+VLOOKUP($B290,$B$351:$E$368,4,FALSE))</f>
        <v>1.11E-2</v>
      </c>
      <c r="K297" s="203">
        <f>INDEX($R290:$AU304,$D297,10+VLOOKUP($B290,$B$351:$E$368,4,FALSE))</f>
        <v>31.82</v>
      </c>
      <c r="L297" s="203">
        <f>INDEX($R290:$AU304,$D297,13+VLOOKUP($B290,$B$351:$E$368,4,FALSE))</f>
        <v>1.1900000000000001E-2</v>
      </c>
      <c r="M297" s="203">
        <f>INDEX($R290:$AU304,$D297,14+VLOOKUP($B290,$B$351:$E$368,4,FALSE))</f>
        <v>34.68</v>
      </c>
      <c r="O297" s="215">
        <v>-5</v>
      </c>
      <c r="P297" s="211">
        <v>57.3</v>
      </c>
      <c r="Q297" s="212">
        <v>68.599999999999994</v>
      </c>
      <c r="R297" s="203">
        <f>ROUND((Q297-P297)/(Q289-P289),4)</f>
        <v>6.6E-3</v>
      </c>
      <c r="S297" s="217">
        <f>ROUND(P297-P289*R297,2)</f>
        <v>25.62</v>
      </c>
      <c r="T297" s="211">
        <v>65.900000000000006</v>
      </c>
      <c r="U297" s="212">
        <v>79</v>
      </c>
      <c r="V297" s="203">
        <f>ROUND((U297-T297)/(U289-T289),4)</f>
        <v>7.7000000000000002E-3</v>
      </c>
      <c r="W297" s="217">
        <f>ROUND(T297-T289*V297,2)</f>
        <v>28.94</v>
      </c>
      <c r="X297" s="211">
        <v>67.099999999999994</v>
      </c>
      <c r="Y297" s="212">
        <v>80.400000000000006</v>
      </c>
      <c r="Z297" s="203">
        <f>ROUND((Y297-X297)/(Y289-X289),4)</f>
        <v>7.7999999999999996E-3</v>
      </c>
      <c r="AA297" s="217">
        <f>ROUND(X297-X289*Z297,2)</f>
        <v>29.66</v>
      </c>
      <c r="AB297" s="211">
        <v>70.900000000000006</v>
      </c>
      <c r="AC297" s="212">
        <v>84.7</v>
      </c>
      <c r="AD297" s="203">
        <f>ROUND((AC297-AB297)/(AC289-AB289),4)</f>
        <v>8.0999999999999996E-3</v>
      </c>
      <c r="AE297" s="217">
        <f>ROUND(AB297-AB289*AD297,2)</f>
        <v>32.020000000000003</v>
      </c>
      <c r="AF297" s="211">
        <v>77.2</v>
      </c>
      <c r="AG297" s="212">
        <v>94.3</v>
      </c>
      <c r="AH297" s="203">
        <f>ROUND((AG297-AF297)/(AG289-AF289),4)</f>
        <v>1.01E-2</v>
      </c>
      <c r="AI297" s="217">
        <f>ROUND(AF297-AF289*AH297,2)</f>
        <v>28.72</v>
      </c>
      <c r="AJ297" s="211">
        <v>88.2</v>
      </c>
      <c r="AK297" s="212">
        <v>108</v>
      </c>
      <c r="AL297" s="203">
        <f>ROUND((AK297-AJ297)/(AK289-AJ289),4)</f>
        <v>1.1599999999999999E-2</v>
      </c>
      <c r="AM297" s="217">
        <f>ROUND(AJ297-AJ289*AL297,2)</f>
        <v>32.520000000000003</v>
      </c>
      <c r="AN297" s="211">
        <v>90.4</v>
      </c>
      <c r="AO297" s="212">
        <v>110</v>
      </c>
      <c r="AP297" s="203">
        <f>ROUND((AO297-AN297)/(AO289-AN289),4)</f>
        <v>1.15E-2</v>
      </c>
      <c r="AQ297" s="217">
        <f>ROUND(AN297-AN289*AP297,2)</f>
        <v>35.200000000000003</v>
      </c>
      <c r="AR297" s="211">
        <v>97.1</v>
      </c>
      <c r="AS297" s="212">
        <v>118</v>
      </c>
      <c r="AT297" s="203">
        <f>ROUND((AS297-AR297)/(AS289-AR289),4)</f>
        <v>1.23E-2</v>
      </c>
      <c r="AU297" s="217">
        <f>ROUND(AR297-AR289*AT297,2)</f>
        <v>38.06</v>
      </c>
    </row>
    <row r="298" spans="1:47">
      <c r="A298" t="s">
        <v>255</v>
      </c>
      <c r="B298" s="163" t="e">
        <f>ROUND(B297/(0.000335*B289),1)+B292</f>
        <v>#REF!</v>
      </c>
      <c r="D298" s="133">
        <v>10</v>
      </c>
      <c r="E298" s="133">
        <v>5</v>
      </c>
      <c r="F298" s="203">
        <f>INDEX($R290:$AU304,$D298,1+VLOOKUP($B290,$B$351:$E$368,4,FALSE))</f>
        <v>8.6E-3</v>
      </c>
      <c r="G298" s="203">
        <f>INDEX($R290:$AU304,$D298,2+VLOOKUP($B290,$B$351:$E$368,4,FALSE))</f>
        <v>25.32</v>
      </c>
      <c r="H298" s="203">
        <f>INDEX($R290:$AU304,$D298,5+VLOOKUP($B290,$B$351:$E$368,4,FALSE))</f>
        <v>1.01E-2</v>
      </c>
      <c r="I298" s="203">
        <f>INDEX($R290:$AU304,$D298,6+VLOOKUP($B290,$B$351:$E$368,4,FALSE))</f>
        <v>29.02</v>
      </c>
      <c r="J298" s="203">
        <f>INDEX($R290:$AU304,$D298,9+VLOOKUP($B290,$B$351:$E$368,4,FALSE))</f>
        <v>1.03E-2</v>
      </c>
      <c r="K298" s="203">
        <f>INDEX($R290:$AU304,$D298,10+VLOOKUP($B290,$B$351:$E$368,4,FALSE))</f>
        <v>30.36</v>
      </c>
      <c r="L298" s="203">
        <f>INDEX($R290:$AU304,$D298,13+VLOOKUP($B290,$B$351:$E$368,4,FALSE))</f>
        <v>1.09E-2</v>
      </c>
      <c r="M298" s="203">
        <f>INDEX($R290:$AU304,$D298,14+VLOOKUP($B290,$B$351:$E$368,4,FALSE))</f>
        <v>34.08</v>
      </c>
      <c r="O298" s="215">
        <v>0</v>
      </c>
      <c r="P298" s="211">
        <v>53.2</v>
      </c>
      <c r="Q298" s="212">
        <v>63.7</v>
      </c>
      <c r="R298" s="203">
        <f>ROUND((Q298-P298)/(Q289-P289),4)</f>
        <v>6.1999999999999998E-3</v>
      </c>
      <c r="S298" s="217">
        <f>ROUND(P298-P289*R298,2)</f>
        <v>23.44</v>
      </c>
      <c r="T298" s="211">
        <v>61.8</v>
      </c>
      <c r="U298" s="212">
        <v>74.099999999999994</v>
      </c>
      <c r="V298" s="203">
        <f>ROUND((U298-T298)/(U289-T289),4)</f>
        <v>7.1999999999999998E-3</v>
      </c>
      <c r="W298" s="217">
        <f>ROUND(T298-T289*V298,2)</f>
        <v>27.24</v>
      </c>
      <c r="X298" s="211">
        <v>63</v>
      </c>
      <c r="Y298" s="212">
        <v>75.5</v>
      </c>
      <c r="Z298" s="203">
        <f>ROUND((Y298-X298)/(Y289-X289),4)</f>
        <v>7.4000000000000003E-3</v>
      </c>
      <c r="AA298" s="217">
        <f>ROUND(X298-X289*Z298,2)</f>
        <v>27.48</v>
      </c>
      <c r="AB298" s="211">
        <v>66.8</v>
      </c>
      <c r="AC298" s="212">
        <v>79.8</v>
      </c>
      <c r="AD298" s="203">
        <f>ROUND((AC298-AB298)/(AC289-AB289),4)</f>
        <v>7.6E-3</v>
      </c>
      <c r="AE298" s="217">
        <f>ROUND(AB298-AB289*AD298,2)</f>
        <v>30.32</v>
      </c>
      <c r="AF298" s="211">
        <v>71.900000000000006</v>
      </c>
      <c r="AG298" s="212">
        <v>87.7</v>
      </c>
      <c r="AH298" s="203">
        <f>ROUND((AG298-AF298)/(AG289-AF289),4)</f>
        <v>9.2999999999999992E-3</v>
      </c>
      <c r="AI298" s="217">
        <f>ROUND(AF298-AF289*AH298,2)</f>
        <v>27.26</v>
      </c>
      <c r="AJ298" s="211">
        <v>82.9</v>
      </c>
      <c r="AK298" s="212">
        <v>101</v>
      </c>
      <c r="AL298" s="203">
        <f>ROUND((AK298-AJ298)/(AK289-AJ289),4)</f>
        <v>1.06E-2</v>
      </c>
      <c r="AM298" s="217">
        <f>ROUND(AJ298-AJ289*AL298,2)</f>
        <v>32.020000000000003</v>
      </c>
      <c r="AN298" s="211">
        <v>85.1</v>
      </c>
      <c r="AO298" s="212">
        <v>104</v>
      </c>
      <c r="AP298" s="203">
        <f>ROUND((AO298-AN298)/(AO289-AN289),4)</f>
        <v>1.11E-2</v>
      </c>
      <c r="AQ298" s="217">
        <f>ROUND(AN298-AN289*AP298,2)</f>
        <v>31.82</v>
      </c>
      <c r="AR298" s="211">
        <v>91.8</v>
      </c>
      <c r="AS298" s="212">
        <v>112</v>
      </c>
      <c r="AT298" s="203">
        <f>ROUND((AS298-AR298)/(AS289-AR289),4)</f>
        <v>1.1900000000000001E-2</v>
      </c>
      <c r="AU298" s="217">
        <f>ROUND(AR298-AR289*AT298,2)</f>
        <v>34.68</v>
      </c>
    </row>
    <row r="299" spans="1:47">
      <c r="D299" s="133">
        <v>11</v>
      </c>
      <c r="E299" s="133">
        <v>10</v>
      </c>
      <c r="F299" s="203">
        <f>INDEX($R290:$AU304,$D299,1+VLOOKUP($B290,$B$351:$E$368,4,FALSE))</f>
        <v>7.7999999999999996E-3</v>
      </c>
      <c r="G299" s="203">
        <f>INDEX($R290:$AU304,$D299,2+VLOOKUP($B290,$B$351:$E$368,4,FALSE))</f>
        <v>23.86</v>
      </c>
      <c r="H299" s="203">
        <f>INDEX($R290:$AU304,$D299,5+VLOOKUP($B290,$B$351:$E$368,4,FALSE))</f>
        <v>9.4000000000000004E-3</v>
      </c>
      <c r="I299" s="203">
        <f>INDEX($R290:$AU304,$D299,6+VLOOKUP($B290,$B$351:$E$368,4,FALSE))</f>
        <v>27.18</v>
      </c>
      <c r="J299" s="203">
        <f>INDEX($R290:$AU304,$D299,9+VLOOKUP($B290,$B$351:$E$368,4,FALSE))</f>
        <v>9.4999999999999998E-3</v>
      </c>
      <c r="K299" s="203">
        <f>INDEX($R290:$AU304,$D299,10+VLOOKUP($B290,$B$351:$E$368,4,FALSE))</f>
        <v>28.9</v>
      </c>
      <c r="L299" s="203">
        <f>INDEX($R290:$AU304,$D299,13+VLOOKUP($B290,$B$351:$E$368,4,FALSE))</f>
        <v>1.0200000000000001E-2</v>
      </c>
      <c r="M299" s="203">
        <f>INDEX($R290:$AU304,$D299,14+VLOOKUP($B290,$B$351:$E$368,4,FALSE))</f>
        <v>32.04</v>
      </c>
      <c r="O299" s="215">
        <v>5</v>
      </c>
      <c r="P299" s="211">
        <v>49.1</v>
      </c>
      <c r="Q299" s="212">
        <v>58.8</v>
      </c>
      <c r="R299" s="203">
        <f>ROUND((Q299-P299)/(Q289-P289),4)</f>
        <v>5.7000000000000002E-3</v>
      </c>
      <c r="S299" s="217">
        <f>ROUND(P299-P289*R299,2)</f>
        <v>21.74</v>
      </c>
      <c r="T299" s="211">
        <v>57.7</v>
      </c>
      <c r="U299" s="212">
        <v>69.2</v>
      </c>
      <c r="V299" s="203">
        <f>ROUND((U299-T299)/(U289-T289),4)</f>
        <v>6.7999999999999996E-3</v>
      </c>
      <c r="W299" s="217">
        <f>ROUND(T299-T289*V299,2)</f>
        <v>25.06</v>
      </c>
      <c r="X299" s="211">
        <v>58.9</v>
      </c>
      <c r="Y299" s="212">
        <v>70.5</v>
      </c>
      <c r="Z299" s="203">
        <f>ROUND((Y299-X299)/(Y289-X289),4)</f>
        <v>6.7999999999999996E-3</v>
      </c>
      <c r="AA299" s="217">
        <f>ROUND(X299-X289*Z299,2)</f>
        <v>26.26</v>
      </c>
      <c r="AB299" s="211">
        <v>62.6</v>
      </c>
      <c r="AC299" s="212">
        <v>74.8</v>
      </c>
      <c r="AD299" s="203">
        <f>ROUND((AC299-AB299)/(AC289-AB289),4)</f>
        <v>7.1999999999999998E-3</v>
      </c>
      <c r="AE299" s="217">
        <f>ROUND(AB299-AB289*AD299,2)</f>
        <v>28.04</v>
      </c>
      <c r="AF299" s="211">
        <v>66.599999999999994</v>
      </c>
      <c r="AG299" s="212">
        <v>81.2</v>
      </c>
      <c r="AH299" s="203">
        <f>ROUND((AG299-AF299)/(AG289-AF289),4)</f>
        <v>8.6E-3</v>
      </c>
      <c r="AI299" s="217">
        <f>ROUND(AF299-AF289*AH299,2)</f>
        <v>25.32</v>
      </c>
      <c r="AJ299" s="211">
        <v>77.5</v>
      </c>
      <c r="AK299" s="212">
        <v>94.7</v>
      </c>
      <c r="AL299" s="203">
        <f>ROUND((AK299-AJ299)/(AK289-AJ289),4)</f>
        <v>1.01E-2</v>
      </c>
      <c r="AM299" s="217">
        <f>ROUND(AJ299-AJ289*AL299,2)</f>
        <v>29.02</v>
      </c>
      <c r="AN299" s="211">
        <v>79.8</v>
      </c>
      <c r="AO299" s="212">
        <v>97.3</v>
      </c>
      <c r="AP299" s="203">
        <f>ROUND((AO299-AN299)/(AO289-AN289),4)</f>
        <v>1.03E-2</v>
      </c>
      <c r="AQ299" s="217">
        <f>ROUND(AN299-AN289*AP299,2)</f>
        <v>30.36</v>
      </c>
      <c r="AR299" s="211">
        <v>86.4</v>
      </c>
      <c r="AS299" s="212">
        <v>105</v>
      </c>
      <c r="AT299" s="203">
        <f>ROUND((AS299-AR299)/(AS289-AR289),4)</f>
        <v>1.09E-2</v>
      </c>
      <c r="AU299" s="217">
        <f>ROUND(AR299-AR289*AT299,2)</f>
        <v>34.08</v>
      </c>
    </row>
    <row r="300" spans="1:47">
      <c r="A300" t="s">
        <v>256</v>
      </c>
      <c r="B300" s="163" t="e">
        <f>ROUND(B297/(4183*VLOOKUP(B291,B$345:E$348,4,FALSE))*3600,2)</f>
        <v>#REF!</v>
      </c>
      <c r="D300" s="133">
        <v>12</v>
      </c>
      <c r="E300" s="133">
        <v>15</v>
      </c>
      <c r="F300" s="203">
        <f>INDEX($R290:$AU304,$D300,1+VLOOKUP($B290,$B$351:$E$368,4,FALSE))</f>
        <v>7.1999999999999998E-3</v>
      </c>
      <c r="G300" s="203">
        <f>INDEX($R290:$AU304,$D300,2+VLOOKUP($B290,$B$351:$E$368,4,FALSE))</f>
        <v>21.34</v>
      </c>
      <c r="H300" s="203">
        <f>INDEX($R290:$AU304,$D300,5+VLOOKUP($B290,$B$351:$E$368,4,FALSE))</f>
        <v>8.6E-3</v>
      </c>
      <c r="I300" s="203">
        <f>INDEX($R290:$AU304,$D300,6+VLOOKUP($B290,$B$351:$E$368,4,FALSE))</f>
        <v>25.62</v>
      </c>
      <c r="J300" s="203">
        <f>INDEX($R290:$AU304,$D300,9+VLOOKUP($B290,$B$351:$E$368,4,FALSE))</f>
        <v>8.8000000000000005E-3</v>
      </c>
      <c r="K300" s="203">
        <f>INDEX($R290:$AU304,$D300,10+VLOOKUP($B290,$B$351:$E$368,4,FALSE))</f>
        <v>26.96</v>
      </c>
      <c r="L300" s="203">
        <f>INDEX($R290:$AU304,$D300,13+VLOOKUP($B290,$B$351:$E$368,4,FALSE))</f>
        <v>9.4000000000000004E-3</v>
      </c>
      <c r="M300" s="203">
        <f>INDEX($R290:$AU304,$D300,14+VLOOKUP($B290,$B$351:$E$368,4,FALSE))</f>
        <v>30.48</v>
      </c>
      <c r="O300" s="215">
        <v>10</v>
      </c>
      <c r="P300" s="211">
        <v>45</v>
      </c>
      <c r="Q300" s="212">
        <v>53.8</v>
      </c>
      <c r="R300" s="203">
        <f>ROUND((Q300-P300)/(Q289-P289),4)</f>
        <v>5.1999999999999998E-3</v>
      </c>
      <c r="S300" s="217">
        <f>ROUND(P300-P289*R300,2)</f>
        <v>20.04</v>
      </c>
      <c r="T300" s="211">
        <v>53.6</v>
      </c>
      <c r="U300" s="212">
        <v>64.2</v>
      </c>
      <c r="V300" s="203">
        <f>ROUND((U300-T300)/(U289-T289),4)</f>
        <v>6.1999999999999998E-3</v>
      </c>
      <c r="W300" s="217">
        <f>ROUND(T300-T289*V300,2)</f>
        <v>23.84</v>
      </c>
      <c r="X300" s="211">
        <v>54.8</v>
      </c>
      <c r="Y300" s="212">
        <v>65.5</v>
      </c>
      <c r="Z300" s="203">
        <f>ROUND((Y300-X300)/(Y289-X289),4)</f>
        <v>6.3E-3</v>
      </c>
      <c r="AA300" s="217">
        <f>ROUND(X300-X289*Z300,2)</f>
        <v>24.56</v>
      </c>
      <c r="AB300" s="211">
        <v>58.5</v>
      </c>
      <c r="AC300" s="212">
        <v>69.8</v>
      </c>
      <c r="AD300" s="203">
        <f>ROUND((AC300-AB300)/(AC289-AB289),4)</f>
        <v>6.6E-3</v>
      </c>
      <c r="AE300" s="217">
        <f>ROUND(AB300-AB289*AD300,2)</f>
        <v>26.82</v>
      </c>
      <c r="AF300" s="211">
        <v>61.3</v>
      </c>
      <c r="AG300" s="212">
        <v>74.599999999999994</v>
      </c>
      <c r="AH300" s="203">
        <f>ROUND((AG300-AF300)/(AG289-AF289),4)</f>
        <v>7.7999999999999996E-3</v>
      </c>
      <c r="AI300" s="217">
        <f>ROUND(AF300-AF289*AH300,2)</f>
        <v>23.86</v>
      </c>
      <c r="AJ300" s="211">
        <v>72.3</v>
      </c>
      <c r="AK300" s="212">
        <v>88.2</v>
      </c>
      <c r="AL300" s="203">
        <f>ROUND((AK300-AJ300)/(AK289-AJ289),4)</f>
        <v>9.4000000000000004E-3</v>
      </c>
      <c r="AM300" s="217">
        <f>ROUND(AJ300-AJ289*AL300,2)</f>
        <v>27.18</v>
      </c>
      <c r="AN300" s="211">
        <v>74.5</v>
      </c>
      <c r="AO300" s="212">
        <v>90.7</v>
      </c>
      <c r="AP300" s="203">
        <f>ROUND((AO300-AN300)/(AO289-AN289),4)</f>
        <v>9.4999999999999998E-3</v>
      </c>
      <c r="AQ300" s="217">
        <f>ROUND(AN300-AN289*AP300,2)</f>
        <v>28.9</v>
      </c>
      <c r="AR300" s="211">
        <v>81</v>
      </c>
      <c r="AS300" s="212">
        <v>98.3</v>
      </c>
      <c r="AT300" s="203">
        <f>ROUND((AS300-AR300)/(AS289-AR289),4)</f>
        <v>1.0200000000000001E-2</v>
      </c>
      <c r="AU300" s="217">
        <f>ROUND(AR300-AR289*AT300,2)</f>
        <v>32.04</v>
      </c>
    </row>
    <row r="301" spans="1:47">
      <c r="A301" t="s">
        <v>257</v>
      </c>
      <c r="B301" s="163" t="e">
        <f>ROUND(100*POWER(B300/VLOOKUP(B290,B$351:C$368,2,FALSE),2),1)</f>
        <v>#REF!</v>
      </c>
      <c r="D301" s="133">
        <v>13</v>
      </c>
      <c r="E301" s="133">
        <v>20</v>
      </c>
      <c r="F301" s="203">
        <f>INDEX($R290:$AU304,$D301,1+VLOOKUP($B290,$B$351:$E$368,4,FALSE))</f>
        <v>6.4999999999999997E-3</v>
      </c>
      <c r="G301" s="203">
        <f>INDEX($R290:$AU304,$D301,2+VLOOKUP($B290,$B$351:$E$368,4,FALSE))</f>
        <v>19.41</v>
      </c>
      <c r="H301" s="203">
        <f>INDEX($R290:$AU304,$D301,5+VLOOKUP($B290,$B$351:$E$368,4,FALSE))</f>
        <v>8.0000000000000002E-3</v>
      </c>
      <c r="I301" s="203">
        <f>INDEX($R290:$AU304,$D301,6+VLOOKUP($B290,$B$351:$E$368,4,FALSE))</f>
        <v>23.37</v>
      </c>
      <c r="J301" s="203">
        <f>INDEX($R290:$AU304,$D301,9+VLOOKUP($B290,$B$351:$E$368,4,FALSE))</f>
        <v>8.2000000000000007E-3</v>
      </c>
      <c r="K301" s="203">
        <f>INDEX($R290:$AU304,$D301,10+VLOOKUP($B290,$B$351:$E$368,4,FALSE))</f>
        <v>24.49</v>
      </c>
      <c r="L301" s="203">
        <f>INDEX($R290:$AU304,$D301,13+VLOOKUP($B290,$B$351:$E$368,4,FALSE))</f>
        <v>8.8000000000000005E-3</v>
      </c>
      <c r="M301" s="203">
        <f>INDEX($R290:$AU304,$D301,14+VLOOKUP($B290,$B$351:$E$368,4,FALSE))</f>
        <v>28.01</v>
      </c>
      <c r="O301" s="215">
        <v>15</v>
      </c>
      <c r="P301" s="211">
        <v>40.9</v>
      </c>
      <c r="Q301" s="212">
        <v>48.9</v>
      </c>
      <c r="R301" s="203">
        <f>ROUND((Q301-P301)/(Q289-P289),4)</f>
        <v>4.7000000000000002E-3</v>
      </c>
      <c r="S301" s="217">
        <f>ROUND(P301-P289*R301,2)</f>
        <v>18.34</v>
      </c>
      <c r="T301" s="211">
        <v>49.5</v>
      </c>
      <c r="U301" s="212">
        <v>59.3</v>
      </c>
      <c r="V301" s="203">
        <f>ROUND((U301-T301)/(U289-T289),4)</f>
        <v>5.7999999999999996E-3</v>
      </c>
      <c r="W301" s="217">
        <f>ROUND(T301-T289*V301,2)</f>
        <v>21.66</v>
      </c>
      <c r="X301" s="211">
        <v>50.7</v>
      </c>
      <c r="Y301" s="212">
        <v>60.6</v>
      </c>
      <c r="Z301" s="203">
        <f>ROUND((Y301-X301)/(Y289-X289),4)</f>
        <v>5.7999999999999996E-3</v>
      </c>
      <c r="AA301" s="217">
        <f>ROUND(X301-X289*Z301,2)</f>
        <v>22.86</v>
      </c>
      <c r="AB301" s="211">
        <v>54.4</v>
      </c>
      <c r="AC301" s="212">
        <v>64.8</v>
      </c>
      <c r="AD301" s="203">
        <f>ROUND((AC301-AB301)/(AC289-AB289),4)</f>
        <v>6.1000000000000004E-3</v>
      </c>
      <c r="AE301" s="217">
        <f>ROUND(AB301-AB289*AD301,2)</f>
        <v>25.12</v>
      </c>
      <c r="AF301" s="211">
        <v>55.9</v>
      </c>
      <c r="AG301" s="212">
        <v>68.099999999999994</v>
      </c>
      <c r="AH301" s="203">
        <f>ROUND((AG301-AF301)/(AG289-AF289),4)</f>
        <v>7.1999999999999998E-3</v>
      </c>
      <c r="AI301" s="217">
        <f>ROUND(AF301-AF289*AH301,2)</f>
        <v>21.34</v>
      </c>
      <c r="AJ301" s="211">
        <v>66.900000000000006</v>
      </c>
      <c r="AK301" s="212">
        <v>81.599999999999994</v>
      </c>
      <c r="AL301" s="203">
        <f>ROUND((AK301-AJ301)/(AK289-AJ289),4)</f>
        <v>8.6E-3</v>
      </c>
      <c r="AM301" s="217">
        <f>ROUND(AJ301-AJ289*AL301,2)</f>
        <v>25.62</v>
      </c>
      <c r="AN301" s="211">
        <v>69.2</v>
      </c>
      <c r="AO301" s="212">
        <v>84.2</v>
      </c>
      <c r="AP301" s="203">
        <f>ROUND((AO301-AN301)/(AO289-AN289),4)</f>
        <v>8.8000000000000005E-3</v>
      </c>
      <c r="AQ301" s="217">
        <f>ROUND(AN301-AN289*AP301,2)</f>
        <v>26.96</v>
      </c>
      <c r="AR301" s="211">
        <v>75.599999999999994</v>
      </c>
      <c r="AS301" s="212">
        <v>91.6</v>
      </c>
      <c r="AT301" s="203">
        <f>ROUND((AS301-AR301)/(AS289-AR289),4)</f>
        <v>9.4000000000000004E-3</v>
      </c>
      <c r="AU301" s="217">
        <f>ROUND(AR301-AR289*AT301,2)</f>
        <v>30.48</v>
      </c>
    </row>
    <row r="302" spans="1:47">
      <c r="D302" s="133">
        <v>14</v>
      </c>
      <c r="E302" s="133">
        <v>25</v>
      </c>
      <c r="F302" s="203">
        <f>INDEX($R290:$AU304,$D302,1+VLOOKUP($B290,$B$351:$E$368,4,FALSE))</f>
        <v>5.7999999999999996E-3</v>
      </c>
      <c r="G302" s="203">
        <f>INDEX($R290:$AU304,$D302,2+VLOOKUP($B290,$B$351:$E$368,4,FALSE))</f>
        <v>17.46</v>
      </c>
      <c r="H302" s="203">
        <f>INDEX($R290:$AU304,$D302,5+VLOOKUP($B290,$B$351:$E$368,4,FALSE))</f>
        <v>7.4000000000000003E-3</v>
      </c>
      <c r="I302" s="203">
        <f>INDEX($R290:$AU304,$D302,6+VLOOKUP($B290,$B$351:$E$368,4,FALSE))</f>
        <v>20.99</v>
      </c>
      <c r="J302" s="203">
        <f>INDEX($R290:$AU304,$D302,9+VLOOKUP($B290,$B$351:$E$368,4,FALSE))</f>
        <v>7.4999999999999997E-3</v>
      </c>
      <c r="K302" s="203">
        <f>INDEX($R290:$AU304,$D302,10+VLOOKUP($B290,$B$351:$E$368,4,FALSE))</f>
        <v>22.54</v>
      </c>
      <c r="L302" s="203">
        <f>INDEX($R290:$AU304,$D302,13+VLOOKUP($B290,$B$351:$E$368,4,FALSE))</f>
        <v>8.0999999999999996E-3</v>
      </c>
      <c r="M302" s="203">
        <f>INDEX($R290:$AU304,$D302,14+VLOOKUP($B290,$B$351:$E$368,4,FALSE))</f>
        <v>25.98</v>
      </c>
      <c r="O302" s="215">
        <v>20</v>
      </c>
      <c r="P302" s="211">
        <v>36.8333333333334</v>
      </c>
      <c r="Q302" s="212">
        <v>43.959999999999901</v>
      </c>
      <c r="R302" s="203">
        <f>ROUND((Q302-P302)/(Q289-P289),4)</f>
        <v>4.1999999999999997E-3</v>
      </c>
      <c r="S302" s="217">
        <f>ROUND(P302-P289*R302,2)</f>
        <v>16.670000000000002</v>
      </c>
      <c r="T302" s="211">
        <v>45.44</v>
      </c>
      <c r="U302" s="212">
        <v>54.293333333333401</v>
      </c>
      <c r="V302" s="203">
        <f>ROUND((U302-T302)/(U289-T289),4)</f>
        <v>5.1999999999999998E-3</v>
      </c>
      <c r="W302" s="217">
        <f>ROUND(T302-T289*V302,2)</f>
        <v>20.48</v>
      </c>
      <c r="X302" s="211">
        <v>46.600000000000101</v>
      </c>
      <c r="Y302" s="212">
        <v>55.706666666666699</v>
      </c>
      <c r="Z302" s="203">
        <f>ROUND((Y302-X302)/(Y289-X289),4)</f>
        <v>5.4000000000000003E-3</v>
      </c>
      <c r="AA302" s="217">
        <f>ROUND(X302-X289*Z302,2)</f>
        <v>20.68</v>
      </c>
      <c r="AB302" s="211">
        <v>50.286666666666697</v>
      </c>
      <c r="AC302" s="212">
        <v>59.726666666666702</v>
      </c>
      <c r="AD302" s="203">
        <f>ROUND((AC302-AB302)/(AC289-AB289),4)</f>
        <v>5.5999999999999999E-3</v>
      </c>
      <c r="AE302" s="217">
        <f>ROUND(AB302-AB289*AD302,2)</f>
        <v>23.41</v>
      </c>
      <c r="AF302" s="211">
        <v>50.613333333333301</v>
      </c>
      <c r="AG302" s="212">
        <v>61.6527777777778</v>
      </c>
      <c r="AH302" s="203">
        <f>ROUND((AG302-AF302)/(AG289-AF289),4)</f>
        <v>6.4999999999999997E-3</v>
      </c>
      <c r="AI302" s="217">
        <f>ROUND(AF302-AF289*AH302,2)</f>
        <v>19.41</v>
      </c>
      <c r="AJ302" s="211">
        <v>61.766666666666701</v>
      </c>
      <c r="AK302" s="212">
        <v>75.426666666666705</v>
      </c>
      <c r="AL302" s="203">
        <f>ROUND((AK302-AJ302)/(AK289-AJ289),4)</f>
        <v>8.0000000000000002E-3</v>
      </c>
      <c r="AM302" s="217">
        <f>ROUND(AJ302-AJ289*AL302,2)</f>
        <v>23.37</v>
      </c>
      <c r="AN302" s="211">
        <v>63.853333333333403</v>
      </c>
      <c r="AO302" s="212">
        <v>77.726666666666603</v>
      </c>
      <c r="AP302" s="203">
        <f>ROUND((AO302-AN302)/(AO289-AN289),4)</f>
        <v>8.2000000000000007E-3</v>
      </c>
      <c r="AQ302" s="217">
        <f>ROUND(AN302-AN289*AP302,2)</f>
        <v>24.49</v>
      </c>
      <c r="AR302" s="211">
        <v>70.253333333333302</v>
      </c>
      <c r="AS302" s="212">
        <v>85.273333333333298</v>
      </c>
      <c r="AT302" s="203">
        <f>ROUND((AS302-AR302)/(AS289-AR289),4)</f>
        <v>8.8000000000000005E-3</v>
      </c>
      <c r="AU302" s="217">
        <f>ROUND(AR302-AR289*AT302,2)</f>
        <v>28.01</v>
      </c>
    </row>
    <row r="303" spans="1:47">
      <c r="D303" s="133">
        <v>15</v>
      </c>
      <c r="E303" s="133">
        <v>30</v>
      </c>
      <c r="F303" s="203">
        <f>INDEX($R290:$AU304,$D303,1+VLOOKUP($B290,$B$351:$E$368,4,FALSE))</f>
        <v>5.1000000000000004E-3</v>
      </c>
      <c r="G303" s="203">
        <f>INDEX($R290:$AU304,$D303,2+VLOOKUP($B290,$B$351:$E$368,4,FALSE))</f>
        <v>15.5</v>
      </c>
      <c r="H303" s="203">
        <f>INDEX($R290:$AU304,$D303,5+VLOOKUP($B290,$B$351:$E$368,4,FALSE))</f>
        <v>6.7000000000000002E-3</v>
      </c>
      <c r="I303" s="203">
        <f>INDEX($R290:$AU304,$D303,6+VLOOKUP($B290,$B$351:$E$368,4,FALSE))</f>
        <v>19.09</v>
      </c>
      <c r="J303" s="203">
        <f>INDEX($R290:$AU304,$D303,9+VLOOKUP($B290,$B$351:$E$368,4,FALSE))</f>
        <v>6.7999999999999996E-3</v>
      </c>
      <c r="K303" s="203">
        <f>INDEX($R290:$AU304,$D303,10+VLOOKUP($B290,$B$351:$E$368,4,FALSE))</f>
        <v>20.59</v>
      </c>
      <c r="L303" s="203">
        <f>INDEX($R290:$AU304,$D303,13+VLOOKUP($B290,$B$351:$E$368,4,FALSE))</f>
        <v>7.4000000000000003E-3</v>
      </c>
      <c r="M303" s="203">
        <f>INDEX($R290:$AU304,$D303,14+VLOOKUP($B290,$B$351:$E$368,4,FALSE))</f>
        <v>23.96</v>
      </c>
      <c r="O303" s="215">
        <v>25</v>
      </c>
      <c r="P303" s="211">
        <v>32.7484848484849</v>
      </c>
      <c r="Q303" s="212">
        <v>39.025454545454501</v>
      </c>
      <c r="R303" s="203">
        <f>ROUND((Q303-P303)/(Q289-P289),4)</f>
        <v>3.7000000000000002E-3</v>
      </c>
      <c r="S303" s="217">
        <f>ROUND(P303-P289*R303,2)</f>
        <v>14.99</v>
      </c>
      <c r="T303" s="211">
        <v>41.3527272727273</v>
      </c>
      <c r="U303" s="212">
        <v>49.339393939394</v>
      </c>
      <c r="V303" s="203">
        <f>ROUND((U303-T303)/(U289-T289),4)</f>
        <v>4.7000000000000002E-3</v>
      </c>
      <c r="W303" s="217">
        <f>ROUND(T303-T289*V303,2)</f>
        <v>18.79</v>
      </c>
      <c r="X303" s="211">
        <v>42.500000000000099</v>
      </c>
      <c r="Y303" s="212">
        <v>50.773333333333298</v>
      </c>
      <c r="Z303" s="203">
        <f>ROUND((Y303-X303)/(Y289-X289),4)</f>
        <v>4.8999999999999998E-3</v>
      </c>
      <c r="AA303" s="217">
        <f>ROUND(X303-X289*Z303,2)</f>
        <v>18.98</v>
      </c>
      <c r="AB303" s="211">
        <v>46.166060606060597</v>
      </c>
      <c r="AC303" s="212">
        <v>54.715151515151497</v>
      </c>
      <c r="AD303" s="203">
        <f>ROUND((AC303-AB303)/(AC289-AB289),4)</f>
        <v>5.0000000000000001E-3</v>
      </c>
      <c r="AE303" s="217">
        <f>ROUND(AB303-AB289*AD303,2)</f>
        <v>22.17</v>
      </c>
      <c r="AF303" s="211">
        <v>45.295757575757598</v>
      </c>
      <c r="AG303" s="212">
        <v>55.141111111111201</v>
      </c>
      <c r="AH303" s="203">
        <f>ROUND((AG303-AF303)/(AG289-AF289),4)</f>
        <v>5.7999999999999996E-3</v>
      </c>
      <c r="AI303" s="217">
        <f>ROUND(AF303-AF289*AH303,2)</f>
        <v>17.46</v>
      </c>
      <c r="AJ303" s="211">
        <v>56.506060606060601</v>
      </c>
      <c r="AK303" s="212">
        <v>69.022424242424194</v>
      </c>
      <c r="AL303" s="203">
        <f>ROUND((AK303-AJ303)/(AK289-AJ289),4)</f>
        <v>7.4000000000000003E-3</v>
      </c>
      <c r="AM303" s="217">
        <f>ROUND(AJ303-AJ289*AL303,2)</f>
        <v>20.99</v>
      </c>
      <c r="AN303" s="211">
        <v>58.539393939394003</v>
      </c>
      <c r="AO303" s="212">
        <v>71.218787878787893</v>
      </c>
      <c r="AP303" s="203">
        <f>ROUND((AO303-AN303)/(AO289-AN289),4)</f>
        <v>7.4999999999999997E-3</v>
      </c>
      <c r="AQ303" s="217">
        <f>ROUND(AN303-AN289*AP303,2)</f>
        <v>22.54</v>
      </c>
      <c r="AR303" s="211">
        <v>64.864848484848494</v>
      </c>
      <c r="AS303" s="212">
        <v>78.706666666666706</v>
      </c>
      <c r="AT303" s="203">
        <f>ROUND((AS303-AR303)/(AS289-AR289),4)</f>
        <v>8.0999999999999996E-3</v>
      </c>
      <c r="AU303" s="217">
        <f>ROUND(AR303-AR289*AT303,2)</f>
        <v>25.98</v>
      </c>
    </row>
    <row r="304" spans="1:47" ht="15" thickBot="1">
      <c r="O304" s="216">
        <v>30</v>
      </c>
      <c r="P304" s="226">
        <v>28.6636363636364</v>
      </c>
      <c r="Q304" s="227">
        <v>34.090909090909001</v>
      </c>
      <c r="R304" s="228">
        <f>ROUND((Q304-P304)/(Q289-P289),4)</f>
        <v>3.2000000000000002E-3</v>
      </c>
      <c r="S304" s="229">
        <f>ROUND(P304-P289*R304,2)</f>
        <v>13.3</v>
      </c>
      <c r="T304" s="226">
        <v>37.265454545454602</v>
      </c>
      <c r="U304" s="227">
        <v>44.3854545454546</v>
      </c>
      <c r="V304" s="228">
        <f>ROUND((U304-T304)/(U289-T289),4)</f>
        <v>4.1999999999999997E-3</v>
      </c>
      <c r="W304" s="229">
        <f>ROUND(T304-T289*V304,2)</f>
        <v>17.11</v>
      </c>
      <c r="X304" s="226">
        <v>38.400000000000098</v>
      </c>
      <c r="Y304" s="227">
        <v>45.84</v>
      </c>
      <c r="Z304" s="228">
        <f>ROUND((Y304-X304)/(Y289-X289),4)</f>
        <v>4.4000000000000003E-3</v>
      </c>
      <c r="AA304" s="229">
        <f>ROUND(X304-X289*Z304,2)</f>
        <v>17.28</v>
      </c>
      <c r="AB304" s="226">
        <v>42.045454545454596</v>
      </c>
      <c r="AC304" s="227">
        <v>49.703636363636399</v>
      </c>
      <c r="AD304" s="228">
        <f>ROUND((AC304-AB304)/(AC289-AB289),4)</f>
        <v>4.4999999999999997E-3</v>
      </c>
      <c r="AE304" s="229">
        <f>ROUND(AB304-AB289*AD304,2)</f>
        <v>20.45</v>
      </c>
      <c r="AF304" s="226">
        <v>39.978181818181802</v>
      </c>
      <c r="AG304" s="227">
        <v>48.629444444444502</v>
      </c>
      <c r="AH304" s="228">
        <f>ROUND((AG304-AF304)/(AG289-AF289),4)</f>
        <v>5.1000000000000004E-3</v>
      </c>
      <c r="AI304" s="229">
        <f>ROUND(AF304-AF289*AH304,2)</f>
        <v>15.5</v>
      </c>
      <c r="AJ304" s="226">
        <v>51.245454545454599</v>
      </c>
      <c r="AK304" s="227">
        <v>62.618181818181803</v>
      </c>
      <c r="AL304" s="228">
        <f>ROUND((AK304-AJ304)/(AK289-AJ289),4)</f>
        <v>6.7000000000000002E-3</v>
      </c>
      <c r="AM304" s="229">
        <f>ROUND(AJ304-AJ289*AL304,2)</f>
        <v>19.09</v>
      </c>
      <c r="AN304" s="226">
        <v>53.225454545454603</v>
      </c>
      <c r="AO304" s="227">
        <v>64.710909090909098</v>
      </c>
      <c r="AP304" s="228">
        <f>ROUND((AO304-AN304)/(AO289-AN289),4)</f>
        <v>6.7999999999999996E-3</v>
      </c>
      <c r="AQ304" s="229">
        <f>ROUND(AN304-AN289*AP304,2)</f>
        <v>20.59</v>
      </c>
      <c r="AR304" s="226">
        <v>59.476363636363601</v>
      </c>
      <c r="AS304" s="227">
        <v>72.14</v>
      </c>
      <c r="AT304" s="228">
        <f>ROUND((AS304-AR304)/(AS289-AR289),4)</f>
        <v>7.4000000000000003E-3</v>
      </c>
      <c r="AU304" s="229">
        <f>ROUND(AR304-AR289*AT304,2)</f>
        <v>23.96</v>
      </c>
    </row>
    <row r="305" spans="1:47" ht="15" thickBot="1">
      <c r="O305" s="224"/>
      <c r="P305" s="225"/>
      <c r="Q305" s="225"/>
      <c r="R305" s="225"/>
      <c r="S305" s="225"/>
      <c r="T305" s="225"/>
      <c r="U305" s="225"/>
      <c r="V305" s="225"/>
      <c r="W305" s="225"/>
      <c r="X305" s="225"/>
      <c r="Y305" s="225"/>
      <c r="Z305" s="225"/>
      <c r="AA305" s="225"/>
      <c r="AB305" s="225"/>
      <c r="AC305" s="225"/>
      <c r="AD305" s="225"/>
      <c r="AE305" s="225"/>
      <c r="AF305" s="225"/>
      <c r="AG305" s="225"/>
      <c r="AH305" s="225"/>
      <c r="AI305" s="225"/>
      <c r="AJ305" s="225"/>
      <c r="AK305" s="225"/>
      <c r="AL305" s="225"/>
      <c r="AM305" s="225"/>
      <c r="AN305" s="225"/>
      <c r="AO305" s="225"/>
      <c r="AP305" s="225"/>
      <c r="AQ305" s="225"/>
      <c r="AR305" s="225"/>
      <c r="AS305" s="225"/>
      <c r="AT305" s="225"/>
      <c r="AU305" s="225"/>
    </row>
    <row r="306" spans="1:47" ht="15" thickBot="1">
      <c r="E306" s="163"/>
      <c r="F306" s="596" t="s">
        <v>244</v>
      </c>
      <c r="G306" s="597"/>
      <c r="H306" s="597" t="s">
        <v>245</v>
      </c>
      <c r="I306" s="597"/>
      <c r="J306" s="597" t="s">
        <v>246</v>
      </c>
      <c r="K306" s="597"/>
      <c r="L306" s="597" t="s">
        <v>247</v>
      </c>
      <c r="M306" s="598"/>
      <c r="O306" s="204" t="s">
        <v>258</v>
      </c>
      <c r="P306" s="590" t="s">
        <v>298</v>
      </c>
      <c r="Q306" s="591"/>
      <c r="R306" s="591"/>
      <c r="S306" s="591"/>
      <c r="T306" s="591"/>
      <c r="U306" s="591"/>
      <c r="V306" s="591"/>
      <c r="W306" s="591"/>
      <c r="X306" s="591"/>
      <c r="Y306" s="591"/>
      <c r="Z306" s="591"/>
      <c r="AA306" s="591"/>
      <c r="AB306" s="591"/>
      <c r="AC306" s="591"/>
      <c r="AD306" s="591"/>
      <c r="AE306" s="592"/>
      <c r="AF306" s="590" t="s">
        <v>299</v>
      </c>
      <c r="AG306" s="591"/>
      <c r="AH306" s="591"/>
      <c r="AI306" s="591"/>
      <c r="AJ306" s="591"/>
      <c r="AK306" s="591"/>
      <c r="AL306" s="591"/>
      <c r="AM306" s="591"/>
      <c r="AN306" s="591"/>
      <c r="AO306" s="591"/>
      <c r="AP306" s="591"/>
      <c r="AQ306" s="591"/>
      <c r="AR306" s="591"/>
      <c r="AS306" s="591"/>
      <c r="AT306" s="591"/>
      <c r="AU306" s="592"/>
    </row>
    <row r="307" spans="1:47" ht="15" thickBot="1">
      <c r="E307" s="163"/>
      <c r="F307" s="221" t="s">
        <v>66</v>
      </c>
      <c r="G307" s="222" t="s">
        <v>249</v>
      </c>
      <c r="H307" s="222" t="s">
        <v>66</v>
      </c>
      <c r="I307" s="222" t="s">
        <v>249</v>
      </c>
      <c r="J307" s="222" t="s">
        <v>66</v>
      </c>
      <c r="K307" s="222" t="s">
        <v>249</v>
      </c>
      <c r="L307" s="222" t="s">
        <v>66</v>
      </c>
      <c r="M307" s="223" t="s">
        <v>249</v>
      </c>
      <c r="O307" s="205" t="s">
        <v>251</v>
      </c>
      <c r="P307" s="593" t="s">
        <v>276</v>
      </c>
      <c r="Q307" s="594"/>
      <c r="R307" s="594"/>
      <c r="S307" s="595"/>
      <c r="T307" s="593" t="s">
        <v>277</v>
      </c>
      <c r="U307" s="594"/>
      <c r="V307" s="594"/>
      <c r="W307" s="595"/>
      <c r="X307" s="593" t="s">
        <v>278</v>
      </c>
      <c r="Y307" s="594"/>
      <c r="Z307" s="594"/>
      <c r="AA307" s="595"/>
      <c r="AB307" s="593" t="s">
        <v>279</v>
      </c>
      <c r="AC307" s="594"/>
      <c r="AD307" s="594"/>
      <c r="AE307" s="595"/>
      <c r="AF307" s="593" t="s">
        <v>276</v>
      </c>
      <c r="AG307" s="594"/>
      <c r="AH307" s="594"/>
      <c r="AI307" s="595"/>
      <c r="AJ307" s="593" t="s">
        <v>277</v>
      </c>
      <c r="AK307" s="594"/>
      <c r="AL307" s="594"/>
      <c r="AM307" s="595"/>
      <c r="AN307" s="593" t="s">
        <v>278</v>
      </c>
      <c r="AO307" s="594"/>
      <c r="AP307" s="594"/>
      <c r="AQ307" s="595"/>
      <c r="AR307" s="593" t="s">
        <v>279</v>
      </c>
      <c r="AS307" s="594"/>
      <c r="AT307" s="594"/>
      <c r="AU307" s="595"/>
    </row>
    <row r="308" spans="1:47" ht="15" thickBot="1">
      <c r="A308" t="s">
        <v>248</v>
      </c>
      <c r="B308" s="163" t="e">
        <f>Задача_Расход</f>
        <v>#REF!</v>
      </c>
      <c r="D308" s="133">
        <v>1</v>
      </c>
      <c r="E308" s="133">
        <v>-40</v>
      </c>
      <c r="F308" s="220">
        <f>INDEX($R309:$AU323,$D308,1+VLOOKUP($B309,$B$351:$E$368,4,FALSE))</f>
        <v>1.0200000000000001E-2</v>
      </c>
      <c r="G308" s="220">
        <f>INDEX($R309:$AU323,$D308,2+VLOOKUP($B309,$B$351:$E$368,4,FALSE))</f>
        <v>41.68</v>
      </c>
      <c r="H308" s="220">
        <f>INDEX($R309:$AU323,$D308,5+VLOOKUP($B309,$B$351:$E$368,4,FALSE))</f>
        <v>1.14E-2</v>
      </c>
      <c r="I308" s="220">
        <f>INDEX($R309:$AU323,$D308,6+VLOOKUP($B309,$B$351:$E$368,4,FALSE))</f>
        <v>44.81</v>
      </c>
      <c r="J308" s="220">
        <f>INDEX($R309:$AU323,$D308,9+VLOOKUP($B309,$B$351:$E$368,4,FALSE))</f>
        <v>1.1299999999999999E-2</v>
      </c>
      <c r="K308" s="220">
        <f>INDEX($R309:$AU323,$D308,10+VLOOKUP($B309,$B$351:$E$368,4,FALSE))</f>
        <v>46.84</v>
      </c>
      <c r="L308" s="220">
        <f>INDEX($R309:$AU323,$D308,13+VLOOKUP($B309,$B$351:$E$368,4,FALSE))</f>
        <v>1.2E-2</v>
      </c>
      <c r="M308" s="220">
        <f>INDEX($R309:$AU323,$D308,14+VLOOKUP($B309,$B$351:$E$368,4,FALSE))</f>
        <v>47.62</v>
      </c>
      <c r="O308" s="206" t="s">
        <v>248</v>
      </c>
      <c r="P308" s="207">
        <v>5400</v>
      </c>
      <c r="Q308" s="208">
        <v>7200</v>
      </c>
      <c r="R308" s="208"/>
      <c r="S308" s="209"/>
      <c r="T308" s="207">
        <v>5400</v>
      </c>
      <c r="U308" s="208">
        <v>7200</v>
      </c>
      <c r="V308" s="208"/>
      <c r="W308" s="209"/>
      <c r="X308" s="207">
        <v>5400</v>
      </c>
      <c r="Y308" s="208">
        <v>7200</v>
      </c>
      <c r="Z308" s="208"/>
      <c r="AA308" s="209"/>
      <c r="AB308" s="207">
        <v>5400</v>
      </c>
      <c r="AC308" s="208">
        <v>7200</v>
      </c>
      <c r="AD308" s="208"/>
      <c r="AE308" s="209"/>
      <c r="AF308" s="207">
        <v>5400</v>
      </c>
      <c r="AG308" s="208">
        <v>7200</v>
      </c>
      <c r="AH308" s="208"/>
      <c r="AI308" s="209"/>
      <c r="AJ308" s="207">
        <v>5400</v>
      </c>
      <c r="AK308" s="208">
        <v>7200</v>
      </c>
      <c r="AL308" s="208"/>
      <c r="AM308" s="209"/>
      <c r="AN308" s="207">
        <v>5400</v>
      </c>
      <c r="AO308" s="208">
        <v>7200</v>
      </c>
      <c r="AP308" s="208"/>
      <c r="AQ308" s="209"/>
      <c r="AR308" s="207">
        <v>5400</v>
      </c>
      <c r="AS308" s="208">
        <v>7200</v>
      </c>
      <c r="AT308" s="208"/>
      <c r="AU308" s="209"/>
    </row>
    <row r="309" spans="1:47">
      <c r="A309" t="s">
        <v>250</v>
      </c>
      <c r="B309" s="163" t="s">
        <v>282</v>
      </c>
      <c r="D309" s="133">
        <v>2</v>
      </c>
      <c r="E309" s="133">
        <v>-35</v>
      </c>
      <c r="F309" s="203">
        <f>INDEX($R309:$AU323,$D309,1+VLOOKUP($B309,$B$351:$E$368,4,FALSE))</f>
        <v>9.7000000000000003E-3</v>
      </c>
      <c r="G309" s="203">
        <f>INDEX($R309:$AU323,$D309,2+VLOOKUP($B309,$B$351:$E$368,4,FALSE))</f>
        <v>39.79</v>
      </c>
      <c r="H309" s="203">
        <f>INDEX($R309:$AU323,$D309,5+VLOOKUP($B309,$B$351:$E$368,4,FALSE))</f>
        <v>1.09E-2</v>
      </c>
      <c r="I309" s="203">
        <f>INDEX($R309:$AU323,$D309,6+VLOOKUP($B309,$B$351:$E$368,4,FALSE))</f>
        <v>42.92</v>
      </c>
      <c r="J309" s="203">
        <f>INDEX($R309:$AU323,$D309,9+VLOOKUP($B309,$B$351:$E$368,4,FALSE))</f>
        <v>1.0800000000000001E-2</v>
      </c>
      <c r="K309" s="203">
        <f>INDEX($R309:$AU323,$D309,10+VLOOKUP($B309,$B$351:$E$368,4,FALSE))</f>
        <v>44.95</v>
      </c>
      <c r="L309" s="203">
        <f>INDEX($R309:$AU323,$D309,13+VLOOKUP($B309,$B$351:$E$368,4,FALSE))</f>
        <v>1.15E-2</v>
      </c>
      <c r="M309" s="203">
        <f>INDEX($R309:$AU323,$D309,14+VLOOKUP($B309,$B$351:$E$368,4,FALSE))</f>
        <v>45.71</v>
      </c>
      <c r="O309" s="210">
        <v>-40</v>
      </c>
      <c r="P309" s="211">
        <v>96.761212121212097</v>
      </c>
      <c r="Q309" s="212">
        <v>115.04909090909101</v>
      </c>
      <c r="R309" s="203">
        <f>ROUND((Q309-P309)/(Q308-P308),4)</f>
        <v>1.0200000000000001E-2</v>
      </c>
      <c r="S309" s="217">
        <f>ROUND(P309-P308*R309,2)</f>
        <v>41.68</v>
      </c>
      <c r="T309" s="211">
        <v>106.367272727273</v>
      </c>
      <c r="U309" s="212">
        <v>126.812121212121</v>
      </c>
      <c r="V309" s="203">
        <f>ROUND((U309-T309)/(U308-T308),4)</f>
        <v>1.14E-2</v>
      </c>
      <c r="W309" s="217">
        <f>ROUND(T309-T308*V309,2)</f>
        <v>44.81</v>
      </c>
      <c r="X309" s="211">
        <v>107.864848484848</v>
      </c>
      <c r="Y309" s="212">
        <v>128.12181818181801</v>
      </c>
      <c r="Z309" s="203">
        <f>ROUND((Y309-X309)/(Y308-X308),4)</f>
        <v>1.1299999999999999E-2</v>
      </c>
      <c r="AA309" s="217">
        <f>ROUND(X309-X308*Z309,2)</f>
        <v>46.84</v>
      </c>
      <c r="AB309" s="211">
        <v>112.417575757576</v>
      </c>
      <c r="AC309" s="212">
        <v>133.988484848485</v>
      </c>
      <c r="AD309" s="203">
        <f>ROUND((AC309-AB309)/(AC308-AB308),4)</f>
        <v>1.2E-2</v>
      </c>
      <c r="AE309" s="217">
        <f>ROUND(AB309-AB308*AD309,2)</f>
        <v>47.62</v>
      </c>
      <c r="AF309" s="211">
        <v>128.911515151515</v>
      </c>
      <c r="AG309" s="212">
        <v>153.75333333333299</v>
      </c>
      <c r="AH309" s="203">
        <f>ROUND((AG309-AF309)/(AG308-AF308),4)</f>
        <v>1.38E-2</v>
      </c>
      <c r="AI309" s="217">
        <f>ROUND(AF309-AF308*AH309,2)</f>
        <v>54.39</v>
      </c>
      <c r="AJ309" s="211">
        <v>139.97151515151501</v>
      </c>
      <c r="AK309" s="212">
        <v>164.922424242424</v>
      </c>
      <c r="AL309" s="203">
        <f>ROUND((AK309-AJ309)/(AK308-AJ308),4)</f>
        <v>1.3899999999999999E-2</v>
      </c>
      <c r="AM309" s="217">
        <f>ROUND(AJ309-AJ308*AL309,2)</f>
        <v>64.91</v>
      </c>
      <c r="AN309" s="211">
        <v>144.00181818181801</v>
      </c>
      <c r="AO309" s="212">
        <v>173.77575757575801</v>
      </c>
      <c r="AP309" s="203">
        <f>ROUND((AO309-AN309)/(AO308-AN308),4)</f>
        <v>1.6500000000000001E-2</v>
      </c>
      <c r="AQ309" s="217">
        <f>ROUND(AN309-AN308*AP309,2)</f>
        <v>54.9</v>
      </c>
      <c r="AR309" s="211">
        <v>152.26363636363601</v>
      </c>
      <c r="AS309" s="212">
        <v>183.327272727273</v>
      </c>
      <c r="AT309" s="203">
        <f>ROUND((AS309-AR309)/(AS308-AR308),4)</f>
        <v>1.7299999999999999E-2</v>
      </c>
      <c r="AU309" s="217">
        <f>ROUND(AR309-AR308*AT309,2)</f>
        <v>58.84</v>
      </c>
    </row>
    <row r="310" spans="1:47">
      <c r="A310" t="s">
        <v>251</v>
      </c>
      <c r="B310" s="163" t="e">
        <f>Задача_НагревательТеплоноситель</f>
        <v>#REF!</v>
      </c>
      <c r="D310" s="133">
        <v>3</v>
      </c>
      <c r="E310" s="133">
        <v>-30</v>
      </c>
      <c r="F310" s="203">
        <f>INDEX($R309:$AU323,$D310,1+VLOOKUP($B309,$B$351:$E$368,4,FALSE))</f>
        <v>9.1000000000000004E-3</v>
      </c>
      <c r="G310" s="203">
        <f>INDEX($R309:$AU323,$D310,2+VLOOKUP($B309,$B$351:$E$368,4,FALSE))</f>
        <v>38.46</v>
      </c>
      <c r="H310" s="203">
        <f>INDEX($R309:$AU323,$D310,5+VLOOKUP($B309,$B$351:$E$368,4,FALSE))</f>
        <v>1.04E-2</v>
      </c>
      <c r="I310" s="203">
        <f>INDEX($R309:$AU323,$D310,6+VLOOKUP($B309,$B$351:$E$368,4,FALSE))</f>
        <v>41.04</v>
      </c>
      <c r="J310" s="203">
        <f>INDEX($R309:$AU323,$D310,9+VLOOKUP($B309,$B$351:$E$368,4,FALSE))</f>
        <v>1.0200000000000001E-2</v>
      </c>
      <c r="K310" s="203">
        <f>INDEX($R309:$AU323,$D310,10+VLOOKUP($B309,$B$351:$E$368,4,FALSE))</f>
        <v>43.62</v>
      </c>
      <c r="L310" s="203">
        <f>INDEX($R309:$AU323,$D310,13+VLOOKUP($B309,$B$351:$E$368,4,FALSE))</f>
        <v>1.11E-2</v>
      </c>
      <c r="M310" s="203">
        <f>INDEX($R309:$AU323,$D310,14+VLOOKUP($B309,$B$351:$E$368,4,FALSE))</f>
        <v>43.06</v>
      </c>
      <c r="O310" s="215">
        <v>-35</v>
      </c>
      <c r="P310" s="211">
        <v>92.173333333333304</v>
      </c>
      <c r="Q310" s="212">
        <v>109.58</v>
      </c>
      <c r="R310" s="203">
        <f>ROUND((Q310-P310)/(Q308-P308),4)</f>
        <v>9.7000000000000003E-3</v>
      </c>
      <c r="S310" s="217">
        <f>ROUND(P310-P308*R310,2)</f>
        <v>39.79</v>
      </c>
      <c r="T310" s="211">
        <v>101.78</v>
      </c>
      <c r="U310" s="212">
        <v>121.31333333333301</v>
      </c>
      <c r="V310" s="203">
        <f>ROUND((U310-T310)/(U308-T308),4)</f>
        <v>1.09E-2</v>
      </c>
      <c r="W310" s="217">
        <f>ROUND(T310-T308*V310,2)</f>
        <v>42.92</v>
      </c>
      <c r="X310" s="211">
        <v>103.273333333333</v>
      </c>
      <c r="Y310" s="212">
        <v>122.66</v>
      </c>
      <c r="Z310" s="203">
        <f>ROUND((Y310-X310)/(Y308-X308),4)</f>
        <v>1.0800000000000001E-2</v>
      </c>
      <c r="AA310" s="217">
        <f>ROUND(X310-X308*Z310,2)</f>
        <v>44.95</v>
      </c>
      <c r="AB310" s="211">
        <v>107.81333333333301</v>
      </c>
      <c r="AC310" s="212">
        <v>128.433333333333</v>
      </c>
      <c r="AD310" s="203">
        <f>ROUND((AC310-AB310)/(AC308-AB308),4)</f>
        <v>1.15E-2</v>
      </c>
      <c r="AE310" s="217">
        <f>ROUND(AB310-AB308*AD310,2)</f>
        <v>45.71</v>
      </c>
      <c r="AF310" s="211">
        <v>122.926666666667</v>
      </c>
      <c r="AG310" s="212">
        <v>146.74666666666701</v>
      </c>
      <c r="AH310" s="203">
        <f>ROUND((AG310-AF310)/(AG308-AF308),4)</f>
        <v>1.32E-2</v>
      </c>
      <c r="AI310" s="217">
        <f>ROUND(AF310-AF308*AH310,2)</f>
        <v>51.65</v>
      </c>
      <c r="AJ310" s="211">
        <v>134.12666666666701</v>
      </c>
      <c r="AK310" s="212">
        <v>158.32666666666699</v>
      </c>
      <c r="AL310" s="203">
        <f>ROUND((AK310-AJ310)/(AK308-AJ308),4)</f>
        <v>1.34E-2</v>
      </c>
      <c r="AM310" s="217">
        <f>ROUND(AJ310-AJ308*AL310,2)</f>
        <v>61.77</v>
      </c>
      <c r="AN310" s="211">
        <v>138</v>
      </c>
      <c r="AO310" s="212">
        <v>166.53333333333299</v>
      </c>
      <c r="AP310" s="203">
        <f>ROUND((AO310-AN310)/(AO308-AN308),4)</f>
        <v>1.5900000000000001E-2</v>
      </c>
      <c r="AQ310" s="217">
        <f>ROUND(AN310-AN308*AP310,2)</f>
        <v>52.14</v>
      </c>
      <c r="AR310" s="211">
        <v>146.19999999999999</v>
      </c>
      <c r="AS310" s="212">
        <v>176</v>
      </c>
      <c r="AT310" s="203">
        <f>ROUND((AS310-AR310)/(AS308-AR308),4)</f>
        <v>1.66E-2</v>
      </c>
      <c r="AU310" s="217">
        <f>ROUND(AR310-AR308*AT310,2)</f>
        <v>56.56</v>
      </c>
    </row>
    <row r="311" spans="1:47">
      <c r="A311" t="s">
        <v>253</v>
      </c>
      <c r="B311" s="163" t="e">
        <f>VLOOKUP("1000x500",ПП_Расчет!C$10:F$19,4,0)</f>
        <v>#REF!</v>
      </c>
      <c r="D311" s="133">
        <v>4</v>
      </c>
      <c r="E311" s="133">
        <v>-25</v>
      </c>
      <c r="F311" s="203">
        <f>INDEX($R309:$AU323,$D311,1+VLOOKUP($B309,$B$351:$E$368,4,FALSE))</f>
        <v>8.6999999999999994E-3</v>
      </c>
      <c r="G311" s="203">
        <f>INDEX($R309:$AU323,$D311,2+VLOOKUP($B309,$B$351:$E$368,4,FALSE))</f>
        <v>36.020000000000003</v>
      </c>
      <c r="H311" s="203">
        <f>INDEX($R309:$AU323,$D311,5+VLOOKUP($B309,$B$351:$E$368,4,FALSE))</f>
        <v>9.7000000000000003E-3</v>
      </c>
      <c r="I311" s="203">
        <f>INDEX($R309:$AU323,$D311,6+VLOOKUP($B309,$B$351:$E$368,4,FALSE))</f>
        <v>40.22</v>
      </c>
      <c r="J311" s="203">
        <f>INDEX($R309:$AU323,$D311,9+VLOOKUP($B309,$B$351:$E$368,4,FALSE))</f>
        <v>9.9000000000000008E-3</v>
      </c>
      <c r="K311" s="203">
        <f>INDEX($R309:$AU323,$D311,10+VLOOKUP($B309,$B$351:$E$368,4,FALSE))</f>
        <v>40.64</v>
      </c>
      <c r="L311" s="203">
        <f>INDEX($R309:$AU323,$D311,13+VLOOKUP($B309,$B$351:$E$368,4,FALSE))</f>
        <v>1.0200000000000001E-2</v>
      </c>
      <c r="M311" s="203">
        <f>INDEX($R309:$AU323,$D311,14+VLOOKUP($B309,$B$351:$E$368,4,FALSE))</f>
        <v>43.62</v>
      </c>
      <c r="O311" s="215">
        <v>-30</v>
      </c>
      <c r="P311" s="211">
        <v>87.6</v>
      </c>
      <c r="Q311" s="212">
        <v>104</v>
      </c>
      <c r="R311" s="203">
        <f>ROUND((Q311-P311)/(Q308-P308),4)</f>
        <v>9.1000000000000004E-3</v>
      </c>
      <c r="S311" s="217">
        <f>ROUND(P311-P308*R311,2)</f>
        <v>38.46</v>
      </c>
      <c r="T311" s="211">
        <v>97.2</v>
      </c>
      <c r="U311" s="212">
        <v>116</v>
      </c>
      <c r="V311" s="203">
        <f>ROUND((U311-T311)/(U308-T308),4)</f>
        <v>1.04E-2</v>
      </c>
      <c r="W311" s="217">
        <f>ROUND(T311-T308*V311,2)</f>
        <v>41.04</v>
      </c>
      <c r="X311" s="211">
        <v>98.7</v>
      </c>
      <c r="Y311" s="212">
        <v>117</v>
      </c>
      <c r="Z311" s="203">
        <f>ROUND((Y311-X311)/(Y308-X308),4)</f>
        <v>1.0200000000000001E-2</v>
      </c>
      <c r="AA311" s="217">
        <f>ROUND(X311-X308*Z311,2)</f>
        <v>43.62</v>
      </c>
      <c r="AB311" s="211">
        <v>103</v>
      </c>
      <c r="AC311" s="212">
        <v>123</v>
      </c>
      <c r="AD311" s="203">
        <f>ROUND((AC311-AB311)/(AC308-AB308),4)</f>
        <v>1.11E-2</v>
      </c>
      <c r="AE311" s="217">
        <f>ROUND(AB311-AB308*AD311,2)</f>
        <v>43.06</v>
      </c>
      <c r="AF311" s="211">
        <v>117</v>
      </c>
      <c r="AG311" s="212">
        <v>139</v>
      </c>
      <c r="AH311" s="203">
        <f>ROUND((AG311-AF311)/(AG308-AF308),4)</f>
        <v>1.2200000000000001E-2</v>
      </c>
      <c r="AI311" s="217">
        <f>ROUND(AF311-AF308*AH311,2)</f>
        <v>51.12</v>
      </c>
      <c r="AJ311" s="211">
        <v>128</v>
      </c>
      <c r="AK311" s="212">
        <v>151</v>
      </c>
      <c r="AL311" s="203">
        <f>ROUND((AK311-AJ311)/(AK308-AJ308),4)</f>
        <v>1.2800000000000001E-2</v>
      </c>
      <c r="AM311" s="217">
        <f>ROUND(AJ311-AJ308*AL311,2)</f>
        <v>58.88</v>
      </c>
      <c r="AN311" s="211">
        <v>132</v>
      </c>
      <c r="AO311" s="212">
        <v>159</v>
      </c>
      <c r="AP311" s="203">
        <f>ROUND((AO311-AN311)/(AO308-AN308),4)</f>
        <v>1.4999999999999999E-2</v>
      </c>
      <c r="AQ311" s="217">
        <f>ROUND(AN311-AN308*AP311,2)</f>
        <v>51</v>
      </c>
      <c r="AR311" s="211">
        <v>140</v>
      </c>
      <c r="AS311" s="212">
        <v>169</v>
      </c>
      <c r="AT311" s="203">
        <f>ROUND((AS311-AR311)/(AS308-AR308),4)</f>
        <v>1.61E-2</v>
      </c>
      <c r="AU311" s="217">
        <f>ROUND(AR311-AR308*AT311,2)</f>
        <v>53.06</v>
      </c>
    </row>
    <row r="312" spans="1:47">
      <c r="D312" s="133">
        <v>5</v>
      </c>
      <c r="E312" s="133">
        <v>-20</v>
      </c>
      <c r="F312" s="203">
        <f>INDEX($R309:$AU323,$D312,1+VLOOKUP($B309,$B$351:$E$368,4,FALSE))</f>
        <v>8.2000000000000007E-3</v>
      </c>
      <c r="G312" s="203">
        <f>INDEX($R309:$AU323,$D312,2+VLOOKUP($B309,$B$351:$E$368,4,FALSE))</f>
        <v>34.119999999999997</v>
      </c>
      <c r="H312" s="203">
        <f>INDEX($R309:$AU323,$D312,5+VLOOKUP($B309,$B$351:$E$368,4,FALSE))</f>
        <v>9.4000000000000004E-3</v>
      </c>
      <c r="I312" s="203">
        <f>INDEX($R309:$AU323,$D312,6+VLOOKUP($B309,$B$351:$E$368,4,FALSE))</f>
        <v>37.24</v>
      </c>
      <c r="J312" s="203">
        <f>INDEX($R309:$AU323,$D312,9+VLOOKUP($B309,$B$351:$E$368,4,FALSE))</f>
        <v>9.1999999999999998E-3</v>
      </c>
      <c r="K312" s="203">
        <f>INDEX($R309:$AU323,$D312,10+VLOOKUP($B309,$B$351:$E$368,4,FALSE))</f>
        <v>39.82</v>
      </c>
      <c r="L312" s="203">
        <f>INDEX($R309:$AU323,$D312,13+VLOOKUP($B309,$B$351:$E$368,4,FALSE))</f>
        <v>9.9000000000000008E-3</v>
      </c>
      <c r="M312" s="203">
        <f>INDEX($R309:$AU323,$D312,14+VLOOKUP($B309,$B$351:$E$368,4,FALSE))</f>
        <v>40.64</v>
      </c>
      <c r="O312" s="215">
        <v>-25</v>
      </c>
      <c r="P312" s="211">
        <v>83</v>
      </c>
      <c r="Q312" s="212">
        <v>98.7</v>
      </c>
      <c r="R312" s="203">
        <f>ROUND((Q312-P312)/(Q308-P308),4)</f>
        <v>8.6999999999999994E-3</v>
      </c>
      <c r="S312" s="217">
        <f>ROUND(P312-P308*R312,2)</f>
        <v>36.020000000000003</v>
      </c>
      <c r="T312" s="211">
        <v>92.6</v>
      </c>
      <c r="U312" s="212">
        <v>110</v>
      </c>
      <c r="V312" s="203">
        <f>ROUND((U312-T312)/(U308-T308),4)</f>
        <v>9.7000000000000003E-3</v>
      </c>
      <c r="W312" s="217">
        <f>ROUND(T312-T308*V312,2)</f>
        <v>40.22</v>
      </c>
      <c r="X312" s="211">
        <v>94.1</v>
      </c>
      <c r="Y312" s="212">
        <v>112</v>
      </c>
      <c r="Z312" s="203">
        <f>ROUND((Y312-X312)/(Y308-X308),4)</f>
        <v>9.9000000000000008E-3</v>
      </c>
      <c r="AA312" s="217">
        <f>ROUND(X312-X308*Z312,2)</f>
        <v>40.64</v>
      </c>
      <c r="AB312" s="211">
        <v>98.7</v>
      </c>
      <c r="AC312" s="212">
        <v>117</v>
      </c>
      <c r="AD312" s="203">
        <f>ROUND((AC312-AB312)/(AC308-AB308),4)</f>
        <v>1.0200000000000001E-2</v>
      </c>
      <c r="AE312" s="217">
        <f>ROUND(AB312-AB308*AD312,2)</f>
        <v>43.62</v>
      </c>
      <c r="AF312" s="211">
        <v>111</v>
      </c>
      <c r="AG312" s="212">
        <v>132</v>
      </c>
      <c r="AH312" s="203">
        <f>ROUND((AG312-AF312)/(AG308-AF308),4)</f>
        <v>1.17E-2</v>
      </c>
      <c r="AI312" s="217">
        <f>ROUND(AF312-AF308*AH312,2)</f>
        <v>47.82</v>
      </c>
      <c r="AJ312" s="211">
        <v>122</v>
      </c>
      <c r="AK312" s="212">
        <v>145</v>
      </c>
      <c r="AL312" s="203">
        <f>ROUND((AK312-AJ312)/(AK308-AJ308),4)</f>
        <v>1.2800000000000001E-2</v>
      </c>
      <c r="AM312" s="217">
        <f>ROUND(AJ312-AJ308*AL312,2)</f>
        <v>52.88</v>
      </c>
      <c r="AN312" s="211">
        <v>126</v>
      </c>
      <c r="AO312" s="212">
        <v>152</v>
      </c>
      <c r="AP312" s="203">
        <f>ROUND((AO312-AN312)/(AO308-AN308),4)</f>
        <v>1.44E-2</v>
      </c>
      <c r="AQ312" s="217">
        <f>ROUND(AN312-AN308*AP312,2)</f>
        <v>48.24</v>
      </c>
      <c r="AR312" s="211">
        <v>134</v>
      </c>
      <c r="AS312" s="212">
        <v>161</v>
      </c>
      <c r="AT312" s="203">
        <f>ROUND((AS312-AR312)/(AS308-AR308),4)</f>
        <v>1.4999999999999999E-2</v>
      </c>
      <c r="AU312" s="217">
        <f>ROUND(AR312-AR308*AT312,2)</f>
        <v>53</v>
      </c>
    </row>
    <row r="313" spans="1:47">
      <c r="A313" t="s">
        <v>66</v>
      </c>
      <c r="B313" s="163" t="e">
        <f>VLOOKUP(B311,E308:M322,VLOOKUP(B310,B$345:D$348,2,FALSE))</f>
        <v>#REF!</v>
      </c>
      <c r="D313" s="133">
        <v>6</v>
      </c>
      <c r="E313" s="133">
        <v>-15</v>
      </c>
      <c r="F313" s="203">
        <f>INDEX($R309:$AU323,$D313,1+VLOOKUP($B309,$B$351:$E$368,4,FALSE))</f>
        <v>7.7000000000000002E-3</v>
      </c>
      <c r="G313" s="203">
        <f>INDEX($R309:$AU323,$D313,2+VLOOKUP($B309,$B$351:$E$368,4,FALSE))</f>
        <v>32.22</v>
      </c>
      <c r="H313" s="203">
        <f>INDEX($R309:$AU323,$D313,5+VLOOKUP($B309,$B$351:$E$368,4,FALSE))</f>
        <v>8.8000000000000005E-3</v>
      </c>
      <c r="I313" s="203">
        <f>INDEX($R309:$AU323,$D313,6+VLOOKUP($B309,$B$351:$E$368,4,FALSE))</f>
        <v>35.880000000000003</v>
      </c>
      <c r="J313" s="203">
        <f>INDEX($R309:$AU323,$D313,9+VLOOKUP($B309,$B$351:$E$368,4,FALSE))</f>
        <v>8.8999999999999999E-3</v>
      </c>
      <c r="K313" s="203">
        <f>INDEX($R309:$AU323,$D313,10+VLOOKUP($B309,$B$351:$E$368,4,FALSE))</f>
        <v>36.840000000000003</v>
      </c>
      <c r="L313" s="203">
        <f>INDEX($R309:$AU323,$D313,13+VLOOKUP($B309,$B$351:$E$368,4,FALSE))</f>
        <v>9.1999999999999998E-3</v>
      </c>
      <c r="M313" s="203">
        <f>INDEX($R309:$AU323,$D313,14+VLOOKUP($B309,$B$351:$E$368,4,FALSE))</f>
        <v>39.72</v>
      </c>
      <c r="O313" s="215">
        <v>-20</v>
      </c>
      <c r="P313" s="211">
        <v>78.400000000000006</v>
      </c>
      <c r="Q313" s="212">
        <v>93.2</v>
      </c>
      <c r="R313" s="203">
        <f>ROUND((Q313-P313)/(Q308-P308),4)</f>
        <v>8.2000000000000007E-3</v>
      </c>
      <c r="S313" s="217">
        <f>ROUND(P313-P308*R313,2)</f>
        <v>34.119999999999997</v>
      </c>
      <c r="T313" s="211">
        <v>88</v>
      </c>
      <c r="U313" s="212">
        <v>105</v>
      </c>
      <c r="V313" s="203">
        <f>ROUND((U313-T313)/(U308-T308),4)</f>
        <v>9.4000000000000004E-3</v>
      </c>
      <c r="W313" s="217">
        <f>ROUND(T313-T308*V313,2)</f>
        <v>37.24</v>
      </c>
      <c r="X313" s="211">
        <v>89.5</v>
      </c>
      <c r="Y313" s="212">
        <v>106</v>
      </c>
      <c r="Z313" s="203">
        <f>ROUND((Y313-X313)/(Y308-X308),4)</f>
        <v>9.1999999999999998E-3</v>
      </c>
      <c r="AA313" s="217">
        <f>ROUND(X313-X308*Z313,2)</f>
        <v>39.82</v>
      </c>
      <c r="AB313" s="211">
        <v>94.1</v>
      </c>
      <c r="AC313" s="212">
        <v>112</v>
      </c>
      <c r="AD313" s="203">
        <f>ROUND((AC313-AB313)/(AC308-AB308),4)</f>
        <v>9.9000000000000008E-3</v>
      </c>
      <c r="AE313" s="217">
        <f>ROUND(AB313-AB308*AD313,2)</f>
        <v>40.64</v>
      </c>
      <c r="AF313" s="211">
        <v>105</v>
      </c>
      <c r="AG313" s="212">
        <v>126</v>
      </c>
      <c r="AH313" s="203">
        <f>ROUND((AG313-AF313)/(AG308-AF308),4)</f>
        <v>1.17E-2</v>
      </c>
      <c r="AI313" s="217">
        <f>ROUND(AF313-AF308*AH313,2)</f>
        <v>41.82</v>
      </c>
      <c r="AJ313" s="211">
        <v>117</v>
      </c>
      <c r="AK313" s="212">
        <v>138</v>
      </c>
      <c r="AL313" s="203">
        <f>ROUND((AK313-AJ313)/(AK308-AJ308),4)</f>
        <v>1.17E-2</v>
      </c>
      <c r="AM313" s="217">
        <f>ROUND(AJ313-AJ308*AL313,2)</f>
        <v>53.82</v>
      </c>
      <c r="AN313" s="211">
        <v>120</v>
      </c>
      <c r="AO313" s="212">
        <v>145</v>
      </c>
      <c r="AP313" s="203">
        <f>ROUND((AO313-AN313)/(AO308-AN308),4)</f>
        <v>1.3899999999999999E-2</v>
      </c>
      <c r="AQ313" s="217">
        <f>ROUND(AN313-AN308*AP313,2)</f>
        <v>44.94</v>
      </c>
      <c r="AR313" s="211">
        <v>128</v>
      </c>
      <c r="AS313" s="212">
        <v>154</v>
      </c>
      <c r="AT313" s="203">
        <f>ROUND((AS313-AR313)/(AS308-AR308),4)</f>
        <v>1.44E-2</v>
      </c>
      <c r="AU313" s="217">
        <f>ROUND(AR313-AR308*AT313,2)</f>
        <v>50.24</v>
      </c>
    </row>
    <row r="314" spans="1:47">
      <c r="A314" t="s">
        <v>249</v>
      </c>
      <c r="B314" s="163" t="e">
        <f>VLOOKUP(B311,E308:M322,VLOOKUP(B310,B$345:D$348,3,FALSE))</f>
        <v>#REF!</v>
      </c>
      <c r="D314" s="133">
        <v>7</v>
      </c>
      <c r="E314" s="133">
        <v>-10</v>
      </c>
      <c r="F314" s="203">
        <f>INDEX($R309:$AU323,$D314,1+VLOOKUP($B309,$B$351:$E$368,4,FALSE))</f>
        <v>7.3000000000000001E-3</v>
      </c>
      <c r="G314" s="203">
        <f>INDEX($R309:$AU323,$D314,2+VLOOKUP($B309,$B$351:$E$368,4,FALSE))</f>
        <v>29.78</v>
      </c>
      <c r="H314" s="203">
        <f>INDEX($R309:$AU323,$D314,5+VLOOKUP($B309,$B$351:$E$368,4,FALSE))</f>
        <v>8.3000000000000001E-3</v>
      </c>
      <c r="I314" s="203">
        <f>INDEX($R309:$AU323,$D314,6+VLOOKUP($B309,$B$351:$E$368,4,FALSE))</f>
        <v>34.08</v>
      </c>
      <c r="J314" s="203">
        <f>INDEX($R309:$AU323,$D314,9+VLOOKUP($B309,$B$351:$E$368,4,FALSE))</f>
        <v>8.3999999999999995E-3</v>
      </c>
      <c r="K314" s="203">
        <f>INDEX($R309:$AU323,$D314,10+VLOOKUP($B309,$B$351:$E$368,4,FALSE))</f>
        <v>34.94</v>
      </c>
      <c r="L314" s="203">
        <f>INDEX($R309:$AU323,$D314,13+VLOOKUP($B309,$B$351:$E$368,4,FALSE))</f>
        <v>8.8999999999999999E-3</v>
      </c>
      <c r="M314" s="203">
        <f>INDEX($R309:$AU323,$D314,14+VLOOKUP($B309,$B$351:$E$368,4,FALSE))</f>
        <v>36.840000000000003</v>
      </c>
      <c r="O314" s="215">
        <v>-15</v>
      </c>
      <c r="P314" s="211">
        <v>73.8</v>
      </c>
      <c r="Q314" s="212">
        <v>87.7</v>
      </c>
      <c r="R314" s="203">
        <f>ROUND((Q314-P314)/(Q308-P308),4)</f>
        <v>7.7000000000000002E-3</v>
      </c>
      <c r="S314" s="217">
        <f>ROUND(P314-P308*R314,2)</f>
        <v>32.22</v>
      </c>
      <c r="T314" s="211">
        <v>83.4</v>
      </c>
      <c r="U314" s="212">
        <v>99.3</v>
      </c>
      <c r="V314" s="203">
        <f>ROUND((U314-T314)/(U308-T308),4)</f>
        <v>8.8000000000000005E-3</v>
      </c>
      <c r="W314" s="217">
        <f>ROUND(T314-T308*V314,2)</f>
        <v>35.880000000000003</v>
      </c>
      <c r="X314" s="211">
        <v>84.9</v>
      </c>
      <c r="Y314" s="212">
        <v>101</v>
      </c>
      <c r="Z314" s="203">
        <f>ROUND((Y314-X314)/(Y308-X308),4)</f>
        <v>8.8999999999999999E-3</v>
      </c>
      <c r="AA314" s="217">
        <f>ROUND(X314-X308*Z314,2)</f>
        <v>36.840000000000003</v>
      </c>
      <c r="AB314" s="211">
        <v>89.4</v>
      </c>
      <c r="AC314" s="212">
        <v>106</v>
      </c>
      <c r="AD314" s="203">
        <f>ROUND((AC314-AB314)/(AC308-AB308),4)</f>
        <v>9.1999999999999998E-3</v>
      </c>
      <c r="AE314" s="217">
        <f>ROUND(AB314-AB308*AD314,2)</f>
        <v>39.72</v>
      </c>
      <c r="AF314" s="211">
        <v>98.9</v>
      </c>
      <c r="AG314" s="212">
        <v>120</v>
      </c>
      <c r="AH314" s="203">
        <f>ROUND((AG314-AF314)/(AG308-AF308),4)</f>
        <v>1.17E-2</v>
      </c>
      <c r="AI314" s="217">
        <f>ROUND(AF314-AF308*AH314,2)</f>
        <v>35.72</v>
      </c>
      <c r="AJ314" s="211">
        <v>111</v>
      </c>
      <c r="AK314" s="212">
        <v>132</v>
      </c>
      <c r="AL314" s="203">
        <f>ROUND((AK314-AJ314)/(AK308-AJ308),4)</f>
        <v>1.17E-2</v>
      </c>
      <c r="AM314" s="217">
        <f>ROUND(AJ314-AJ308*AL314,2)</f>
        <v>47.82</v>
      </c>
      <c r="AN314" s="211">
        <v>114</v>
      </c>
      <c r="AO314" s="212">
        <v>138</v>
      </c>
      <c r="AP314" s="203">
        <f>ROUND((AO314-AN314)/(AO308-AN308),4)</f>
        <v>1.3299999999999999E-2</v>
      </c>
      <c r="AQ314" s="217">
        <f>ROUND(AN314-AN308*AP314,2)</f>
        <v>42.18</v>
      </c>
      <c r="AR314" s="211">
        <v>122</v>
      </c>
      <c r="AS314" s="212">
        <v>147</v>
      </c>
      <c r="AT314" s="203">
        <f>ROUND((AS314-AR314)/(AS308-AR308),4)</f>
        <v>1.3899999999999999E-2</v>
      </c>
      <c r="AU314" s="217">
        <f>ROUND(AR314-AR308*AT314,2)</f>
        <v>46.94</v>
      </c>
    </row>
    <row r="315" spans="1:47">
      <c r="D315" s="133">
        <v>8</v>
      </c>
      <c r="E315" s="133">
        <v>-5</v>
      </c>
      <c r="F315" s="203">
        <f>INDEX($R309:$AU323,$D315,1+VLOOKUP($B309,$B$351:$E$368,4,FALSE))</f>
        <v>6.7000000000000002E-3</v>
      </c>
      <c r="G315" s="203">
        <f>INDEX($R309:$AU323,$D315,2+VLOOKUP($B309,$B$351:$E$368,4,FALSE))</f>
        <v>28.52</v>
      </c>
      <c r="H315" s="203">
        <f>INDEX($R309:$AU323,$D315,5+VLOOKUP($B309,$B$351:$E$368,4,FALSE))</f>
        <v>7.7999999999999996E-3</v>
      </c>
      <c r="I315" s="203">
        <f>INDEX($R309:$AU323,$D315,6+VLOOKUP($B309,$B$351:$E$368,4,FALSE))</f>
        <v>32.18</v>
      </c>
      <c r="J315" s="203">
        <f>INDEX($R309:$AU323,$D315,9+VLOOKUP($B309,$B$351:$E$368,4,FALSE))</f>
        <v>7.9000000000000008E-3</v>
      </c>
      <c r="K315" s="203">
        <f>INDEX($R309:$AU323,$D315,10+VLOOKUP($B309,$B$351:$E$368,4,FALSE))</f>
        <v>33.04</v>
      </c>
      <c r="L315" s="203">
        <f>INDEX($R309:$AU323,$D315,13+VLOOKUP($B309,$B$351:$E$368,4,FALSE))</f>
        <v>8.2000000000000007E-3</v>
      </c>
      <c r="M315" s="203">
        <f>INDEX($R309:$AU323,$D315,14+VLOOKUP($B309,$B$351:$E$368,4,FALSE))</f>
        <v>35.92</v>
      </c>
      <c r="O315" s="215">
        <v>-10</v>
      </c>
      <c r="P315" s="211">
        <v>69.2</v>
      </c>
      <c r="Q315" s="212">
        <v>82.3</v>
      </c>
      <c r="R315" s="203">
        <f>ROUND((Q315-P315)/(Q308-P308),4)</f>
        <v>7.3000000000000001E-3</v>
      </c>
      <c r="S315" s="217">
        <f>ROUND(P315-P308*R315,2)</f>
        <v>29.78</v>
      </c>
      <c r="T315" s="211">
        <v>78.900000000000006</v>
      </c>
      <c r="U315" s="212">
        <v>93.8</v>
      </c>
      <c r="V315" s="203">
        <f>ROUND((U315-T315)/(U308-T308),4)</f>
        <v>8.3000000000000001E-3</v>
      </c>
      <c r="W315" s="217">
        <f>ROUND(T315-T308*V315,2)</f>
        <v>34.08</v>
      </c>
      <c r="X315" s="211">
        <v>80.3</v>
      </c>
      <c r="Y315" s="212">
        <v>95.4</v>
      </c>
      <c r="Z315" s="203">
        <f>ROUND((Y315-X315)/(Y308-X308),4)</f>
        <v>8.3999999999999995E-3</v>
      </c>
      <c r="AA315" s="217">
        <f>ROUND(X315-X308*Z315,2)</f>
        <v>34.94</v>
      </c>
      <c r="AB315" s="211">
        <v>84.9</v>
      </c>
      <c r="AC315" s="212">
        <v>101</v>
      </c>
      <c r="AD315" s="203">
        <f>ROUND((AC315-AB315)/(AC308-AB308),4)</f>
        <v>8.8999999999999999E-3</v>
      </c>
      <c r="AE315" s="217">
        <f>ROUND(AB315-AB308*AD315,2)</f>
        <v>36.840000000000003</v>
      </c>
      <c r="AF315" s="211">
        <v>92.9</v>
      </c>
      <c r="AG315" s="212">
        <v>112</v>
      </c>
      <c r="AH315" s="203">
        <f>ROUND((AG315-AF315)/(AG308-AF308),4)</f>
        <v>1.06E-2</v>
      </c>
      <c r="AI315" s="217">
        <f>ROUND(AF315-AF308*AH315,2)</f>
        <v>35.659999999999997</v>
      </c>
      <c r="AJ315" s="211">
        <v>105</v>
      </c>
      <c r="AK315" s="212">
        <v>126</v>
      </c>
      <c r="AL315" s="203">
        <f>ROUND((AK315-AJ315)/(AK308-AJ308),4)</f>
        <v>1.17E-2</v>
      </c>
      <c r="AM315" s="217">
        <f>ROUND(AJ315-AJ308*AL315,2)</f>
        <v>41.82</v>
      </c>
      <c r="AN315" s="211">
        <v>108</v>
      </c>
      <c r="AO315" s="212">
        <v>130</v>
      </c>
      <c r="AP315" s="203">
        <f>ROUND((AO315-AN315)/(AO308-AN308),4)</f>
        <v>1.2200000000000001E-2</v>
      </c>
      <c r="AQ315" s="217">
        <f>ROUND(AN315-AN308*AP315,2)</f>
        <v>42.12</v>
      </c>
      <c r="AR315" s="211">
        <v>116</v>
      </c>
      <c r="AS315" s="212">
        <v>139</v>
      </c>
      <c r="AT315" s="203">
        <f>ROUND((AS315-AR315)/(AS308-AR308),4)</f>
        <v>1.2800000000000001E-2</v>
      </c>
      <c r="AU315" s="217">
        <f>ROUND(AR315-AR308*AT315,2)</f>
        <v>46.88</v>
      </c>
    </row>
    <row r="316" spans="1:47">
      <c r="A316" t="s">
        <v>254</v>
      </c>
      <c r="B316" s="163" t="e">
        <f>B308*B313+B314</f>
        <v>#REF!</v>
      </c>
      <c r="D316" s="133">
        <v>9</v>
      </c>
      <c r="E316" s="133">
        <v>0</v>
      </c>
      <c r="F316" s="203">
        <f>INDEX($R309:$AU323,$D316,1+VLOOKUP($B309,$B$351:$E$368,4,FALSE))</f>
        <v>6.1999999999999998E-3</v>
      </c>
      <c r="G316" s="203">
        <f>INDEX($R309:$AU323,$D316,2+VLOOKUP($B309,$B$351:$E$368,4,FALSE))</f>
        <v>26.62</v>
      </c>
      <c r="H316" s="203">
        <f>INDEX($R309:$AU323,$D316,5+VLOOKUP($B309,$B$351:$E$368,4,FALSE))</f>
        <v>7.3000000000000001E-3</v>
      </c>
      <c r="I316" s="203">
        <f>INDEX($R309:$AU323,$D316,6+VLOOKUP($B309,$B$351:$E$368,4,FALSE))</f>
        <v>30.18</v>
      </c>
      <c r="J316" s="203">
        <f>INDEX($R309:$AU323,$D316,9+VLOOKUP($B309,$B$351:$E$368,4,FALSE))</f>
        <v>7.4000000000000003E-3</v>
      </c>
      <c r="K316" s="203">
        <f>INDEX($R309:$AU323,$D316,10+VLOOKUP($B309,$B$351:$E$368,4,FALSE))</f>
        <v>31.14</v>
      </c>
      <c r="L316" s="203">
        <f>INDEX($R309:$AU323,$D316,13+VLOOKUP($B309,$B$351:$E$368,4,FALSE))</f>
        <v>7.7999999999999996E-3</v>
      </c>
      <c r="M316" s="203">
        <f>INDEX($R309:$AU323,$D316,14+VLOOKUP($B309,$B$351:$E$368,4,FALSE))</f>
        <v>33.380000000000003</v>
      </c>
      <c r="O316" s="215">
        <v>-5</v>
      </c>
      <c r="P316" s="211">
        <v>64.7</v>
      </c>
      <c r="Q316" s="212">
        <v>76.8</v>
      </c>
      <c r="R316" s="203">
        <f>ROUND((Q316-P316)/(Q308-P308),4)</f>
        <v>6.7000000000000002E-3</v>
      </c>
      <c r="S316" s="217">
        <f>ROUND(P316-P308*R316,2)</f>
        <v>28.52</v>
      </c>
      <c r="T316" s="211">
        <v>74.3</v>
      </c>
      <c r="U316" s="212">
        <v>88.3</v>
      </c>
      <c r="V316" s="203">
        <f>ROUND((U316-T316)/(U308-T308),4)</f>
        <v>7.7999999999999996E-3</v>
      </c>
      <c r="W316" s="217">
        <f>ROUND(T316-T308*V316,2)</f>
        <v>32.18</v>
      </c>
      <c r="X316" s="211">
        <v>75.7</v>
      </c>
      <c r="Y316" s="212">
        <v>89.9</v>
      </c>
      <c r="Z316" s="203">
        <f>ROUND((Y316-X316)/(Y308-X308),4)</f>
        <v>7.9000000000000008E-3</v>
      </c>
      <c r="AA316" s="217">
        <f>ROUND(X316-X308*Z316,2)</f>
        <v>33.04</v>
      </c>
      <c r="AB316" s="211">
        <v>80.2</v>
      </c>
      <c r="AC316" s="212">
        <v>95</v>
      </c>
      <c r="AD316" s="203">
        <f>ROUND((AC316-AB316)/(AC308-AB308),4)</f>
        <v>8.2000000000000007E-3</v>
      </c>
      <c r="AE316" s="217">
        <f>ROUND(AB316-AB308*AD316,2)</f>
        <v>35.92</v>
      </c>
      <c r="AF316" s="211">
        <v>87</v>
      </c>
      <c r="AG316" s="212">
        <v>105</v>
      </c>
      <c r="AH316" s="203">
        <f>ROUND((AG316-AF316)/(AG308-AF308),4)</f>
        <v>0.01</v>
      </c>
      <c r="AI316" s="217">
        <f>ROUND(AF316-AF308*AH316,2)</f>
        <v>33</v>
      </c>
      <c r="AJ316" s="211">
        <v>99.3</v>
      </c>
      <c r="AK316" s="212">
        <v>120</v>
      </c>
      <c r="AL316" s="203">
        <f>ROUND((AK316-AJ316)/(AK308-AJ308),4)</f>
        <v>1.15E-2</v>
      </c>
      <c r="AM316" s="217">
        <f>ROUND(AJ316-AJ308*AL316,2)</f>
        <v>37.200000000000003</v>
      </c>
      <c r="AN316" s="211">
        <v>102</v>
      </c>
      <c r="AO316" s="212">
        <v>123</v>
      </c>
      <c r="AP316" s="203">
        <f>ROUND((AO316-AN316)/(AO308-AN308),4)</f>
        <v>1.17E-2</v>
      </c>
      <c r="AQ316" s="217">
        <f>ROUND(AN316-AN308*AP316,2)</f>
        <v>38.82</v>
      </c>
      <c r="AR316" s="211">
        <v>110</v>
      </c>
      <c r="AS316" s="212">
        <v>132</v>
      </c>
      <c r="AT316" s="203">
        <f>ROUND((AS316-AR316)/(AS308-AR308),4)</f>
        <v>1.2200000000000001E-2</v>
      </c>
      <c r="AU316" s="217">
        <f>ROUND(AR316-AR308*AT316,2)</f>
        <v>44.12</v>
      </c>
    </row>
    <row r="317" spans="1:47">
      <c r="A317" t="s">
        <v>255</v>
      </c>
      <c r="B317" s="163" t="e">
        <f>ROUND(B316/(0.000335*B308),1)+B311</f>
        <v>#REF!</v>
      </c>
      <c r="D317" s="133">
        <v>10</v>
      </c>
      <c r="E317" s="133">
        <v>5</v>
      </c>
      <c r="F317" s="203">
        <f>INDEX($R309:$AU323,$D317,1+VLOOKUP($B309,$B$351:$E$368,4,FALSE))</f>
        <v>5.7999999999999996E-3</v>
      </c>
      <c r="G317" s="203">
        <f>INDEX($R309:$AU323,$D317,2+VLOOKUP($B309,$B$351:$E$368,4,FALSE))</f>
        <v>24.08</v>
      </c>
      <c r="H317" s="203">
        <f>INDEX($R309:$AU323,$D317,5+VLOOKUP($B309,$B$351:$E$368,4,FALSE))</f>
        <v>6.7999999999999996E-3</v>
      </c>
      <c r="I317" s="203">
        <f>INDEX($R309:$AU323,$D317,6+VLOOKUP($B309,$B$351:$E$368,4,FALSE))</f>
        <v>28.38</v>
      </c>
      <c r="J317" s="203">
        <f>INDEX($R309:$AU323,$D317,9+VLOOKUP($B309,$B$351:$E$368,4,FALSE))</f>
        <v>6.8999999999999999E-3</v>
      </c>
      <c r="K317" s="203">
        <f>INDEX($R309:$AU323,$D317,10+VLOOKUP($B309,$B$351:$E$368,4,FALSE))</f>
        <v>29.34</v>
      </c>
      <c r="L317" s="203">
        <f>INDEX($R309:$AU323,$D317,13+VLOOKUP($B309,$B$351:$E$368,4,FALSE))</f>
        <v>7.1999999999999998E-3</v>
      </c>
      <c r="M317" s="203">
        <f>INDEX($R309:$AU323,$D317,14+VLOOKUP($B309,$B$351:$E$368,4,FALSE))</f>
        <v>32.119999999999997</v>
      </c>
      <c r="O317" s="215">
        <v>0</v>
      </c>
      <c r="P317" s="211">
        <v>60.1</v>
      </c>
      <c r="Q317" s="212">
        <v>71.3</v>
      </c>
      <c r="R317" s="203">
        <f>ROUND((Q317-P317)/(Q308-P308),4)</f>
        <v>6.1999999999999998E-3</v>
      </c>
      <c r="S317" s="217">
        <f>ROUND(P317-P308*R317,2)</f>
        <v>26.62</v>
      </c>
      <c r="T317" s="211">
        <v>69.599999999999994</v>
      </c>
      <c r="U317" s="212">
        <v>82.8</v>
      </c>
      <c r="V317" s="203">
        <f>ROUND((U317-T317)/(U308-T308),4)</f>
        <v>7.3000000000000001E-3</v>
      </c>
      <c r="W317" s="217">
        <f>ROUND(T317-T308*V317,2)</f>
        <v>30.18</v>
      </c>
      <c r="X317" s="211">
        <v>71.099999999999994</v>
      </c>
      <c r="Y317" s="212">
        <v>84.5</v>
      </c>
      <c r="Z317" s="203">
        <f>ROUND((Y317-X317)/(Y308-X308),4)</f>
        <v>7.4000000000000003E-3</v>
      </c>
      <c r="AA317" s="217">
        <f>ROUND(X317-X308*Z317,2)</f>
        <v>31.14</v>
      </c>
      <c r="AB317" s="211">
        <v>75.5</v>
      </c>
      <c r="AC317" s="212">
        <v>89.5</v>
      </c>
      <c r="AD317" s="203">
        <f>ROUND((AC317-AB317)/(AC308-AB308),4)</f>
        <v>7.7999999999999996E-3</v>
      </c>
      <c r="AE317" s="217">
        <f>ROUND(AB317-AB308*AD317,2)</f>
        <v>33.380000000000003</v>
      </c>
      <c r="AF317" s="211">
        <v>81</v>
      </c>
      <c r="AG317" s="212">
        <v>97.9</v>
      </c>
      <c r="AH317" s="203">
        <f>ROUND((AG317-AF317)/(AG308-AF308),4)</f>
        <v>9.4000000000000004E-3</v>
      </c>
      <c r="AI317" s="217">
        <f>ROUND(AF317-AF308*AH317,2)</f>
        <v>30.24</v>
      </c>
      <c r="AJ317" s="211">
        <v>93.3</v>
      </c>
      <c r="AK317" s="212">
        <v>113</v>
      </c>
      <c r="AL317" s="203">
        <f>ROUND((AK317-AJ317)/(AK308-AJ308),4)</f>
        <v>1.09E-2</v>
      </c>
      <c r="AM317" s="217">
        <f>ROUND(AJ317-AJ308*AL317,2)</f>
        <v>34.44</v>
      </c>
      <c r="AN317" s="211">
        <v>95.9</v>
      </c>
      <c r="AO317" s="212">
        <v>116</v>
      </c>
      <c r="AP317" s="203">
        <f>ROUND((AO317-AN317)/(AO308-AN308),4)</f>
        <v>1.12E-2</v>
      </c>
      <c r="AQ317" s="217">
        <f>ROUND(AN317-AN308*AP317,2)</f>
        <v>35.42</v>
      </c>
      <c r="AR317" s="211">
        <v>104</v>
      </c>
      <c r="AS317" s="212">
        <v>125</v>
      </c>
      <c r="AT317" s="203">
        <f>ROUND((AS317-AR317)/(AS308-AR308),4)</f>
        <v>1.17E-2</v>
      </c>
      <c r="AU317" s="217">
        <f>ROUND(AR317-AR308*AT317,2)</f>
        <v>40.82</v>
      </c>
    </row>
    <row r="318" spans="1:47">
      <c r="D318" s="133">
        <v>11</v>
      </c>
      <c r="E318" s="133">
        <v>10</v>
      </c>
      <c r="F318" s="203">
        <f>INDEX($R309:$AU323,$D318,1+VLOOKUP($B309,$B$351:$E$368,4,FALSE))</f>
        <v>5.1999999999999998E-3</v>
      </c>
      <c r="G318" s="203">
        <f>INDEX($R309:$AU323,$D318,2+VLOOKUP($B309,$B$351:$E$368,4,FALSE))</f>
        <v>22.82</v>
      </c>
      <c r="H318" s="203">
        <f>INDEX($R309:$AU323,$D318,5+VLOOKUP($B309,$B$351:$E$368,4,FALSE))</f>
        <v>6.3E-3</v>
      </c>
      <c r="I318" s="203">
        <f>INDEX($R309:$AU323,$D318,6+VLOOKUP($B309,$B$351:$E$368,4,FALSE))</f>
        <v>26.48</v>
      </c>
      <c r="J318" s="203">
        <f>INDEX($R309:$AU323,$D318,9+VLOOKUP($B309,$B$351:$E$368,4,FALSE))</f>
        <v>6.4000000000000003E-3</v>
      </c>
      <c r="K318" s="203">
        <f>INDEX($R309:$AU323,$D318,10+VLOOKUP($B309,$B$351:$E$368,4,FALSE))</f>
        <v>27.34</v>
      </c>
      <c r="L318" s="203">
        <f>INDEX($R309:$AU323,$D318,13+VLOOKUP($B309,$B$351:$E$368,4,FALSE))</f>
        <v>6.7000000000000002E-3</v>
      </c>
      <c r="M318" s="203">
        <f>INDEX($R309:$AU323,$D318,14+VLOOKUP($B309,$B$351:$E$368,4,FALSE))</f>
        <v>30.22</v>
      </c>
      <c r="O318" s="215">
        <v>5</v>
      </c>
      <c r="P318" s="211">
        <v>55.4</v>
      </c>
      <c r="Q318" s="212">
        <v>65.8</v>
      </c>
      <c r="R318" s="203">
        <f>ROUND((Q318-P318)/(Q308-P308),4)</f>
        <v>5.7999999999999996E-3</v>
      </c>
      <c r="S318" s="217">
        <f>ROUND(P318-P308*R318,2)</f>
        <v>24.08</v>
      </c>
      <c r="T318" s="211">
        <v>65.099999999999994</v>
      </c>
      <c r="U318" s="212">
        <v>77.3</v>
      </c>
      <c r="V318" s="203">
        <f>ROUND((U318-T318)/(U308-T308),4)</f>
        <v>6.7999999999999996E-3</v>
      </c>
      <c r="W318" s="217">
        <f>ROUND(T318-T308*V318,2)</f>
        <v>28.38</v>
      </c>
      <c r="X318" s="211">
        <v>66.599999999999994</v>
      </c>
      <c r="Y318" s="212">
        <v>79</v>
      </c>
      <c r="Z318" s="203">
        <f>ROUND((Y318-X318)/(Y308-X308),4)</f>
        <v>6.8999999999999999E-3</v>
      </c>
      <c r="AA318" s="217">
        <f>ROUND(X318-X308*Z318,2)</f>
        <v>29.34</v>
      </c>
      <c r="AB318" s="211">
        <v>71</v>
      </c>
      <c r="AC318" s="212">
        <v>84</v>
      </c>
      <c r="AD318" s="203">
        <f>ROUND((AC318-AB318)/(AC308-AB308),4)</f>
        <v>7.1999999999999998E-3</v>
      </c>
      <c r="AE318" s="217">
        <f>ROUND(AB318-AB308*AD318,2)</f>
        <v>32.119999999999997</v>
      </c>
      <c r="AF318" s="211">
        <v>75.099999999999994</v>
      </c>
      <c r="AG318" s="212">
        <v>90.7</v>
      </c>
      <c r="AH318" s="203">
        <f>ROUND((AG318-AF318)/(AG308-AF308),4)</f>
        <v>8.6999999999999994E-3</v>
      </c>
      <c r="AI318" s="217">
        <f>ROUND(AF318-AF308*AH318,2)</f>
        <v>28.12</v>
      </c>
      <c r="AJ318" s="211">
        <v>87.4</v>
      </c>
      <c r="AK318" s="212">
        <v>106</v>
      </c>
      <c r="AL318" s="203">
        <f>ROUND((AK318-AJ318)/(AK308-AJ308),4)</f>
        <v>1.03E-2</v>
      </c>
      <c r="AM318" s="217">
        <f>ROUND(AJ318-AJ308*AL318,2)</f>
        <v>31.78</v>
      </c>
      <c r="AN318" s="211">
        <v>90</v>
      </c>
      <c r="AO318" s="212">
        <v>109</v>
      </c>
      <c r="AP318" s="203">
        <f>ROUND((AO318-AN318)/(AO308-AN308),4)</f>
        <v>1.06E-2</v>
      </c>
      <c r="AQ318" s="217">
        <f>ROUND(AN318-AN308*AP318,2)</f>
        <v>32.76</v>
      </c>
      <c r="AR318" s="211">
        <v>97.5</v>
      </c>
      <c r="AS318" s="212">
        <v>117</v>
      </c>
      <c r="AT318" s="203">
        <f>ROUND((AS318-AR318)/(AS308-AR308),4)</f>
        <v>1.0800000000000001E-2</v>
      </c>
      <c r="AU318" s="217">
        <f>ROUND(AR318-AR308*AT318,2)</f>
        <v>39.18</v>
      </c>
    </row>
    <row r="319" spans="1:47">
      <c r="A319" t="s">
        <v>256</v>
      </c>
      <c r="B319" s="163" t="e">
        <f>ROUND(B316/(4183*VLOOKUP(B310,B$345:E$348,4,FALSE))*3600,2)</f>
        <v>#REF!</v>
      </c>
      <c r="D319" s="133">
        <v>12</v>
      </c>
      <c r="E319" s="133">
        <v>15</v>
      </c>
      <c r="F319" s="203">
        <f>INDEX($R309:$AU323,$D319,1+VLOOKUP($B309,$B$351:$E$368,4,FALSE))</f>
        <v>4.7999999999999996E-3</v>
      </c>
      <c r="G319" s="203">
        <f>INDEX($R309:$AU323,$D319,2+VLOOKUP($B309,$B$351:$E$368,4,FALSE))</f>
        <v>20.38</v>
      </c>
      <c r="H319" s="203">
        <f>INDEX($R309:$AU323,$D319,5+VLOOKUP($B309,$B$351:$E$368,4,FALSE))</f>
        <v>5.7999999999999996E-3</v>
      </c>
      <c r="I319" s="203">
        <f>INDEX($R309:$AU323,$D319,6+VLOOKUP($B309,$B$351:$E$368,4,FALSE))</f>
        <v>24.58</v>
      </c>
      <c r="J319" s="203">
        <f>INDEX($R309:$AU323,$D319,9+VLOOKUP($B309,$B$351:$E$368,4,FALSE))</f>
        <v>5.8999999999999999E-3</v>
      </c>
      <c r="K319" s="203">
        <f>INDEX($R309:$AU323,$D319,10+VLOOKUP($B309,$B$351:$E$368,4,FALSE))</f>
        <v>25.54</v>
      </c>
      <c r="L319" s="203">
        <f>INDEX($R309:$AU323,$D319,13+VLOOKUP($B309,$B$351:$E$368,4,FALSE))</f>
        <v>6.1999999999999998E-3</v>
      </c>
      <c r="M319" s="203">
        <f>INDEX($R309:$AU323,$D319,14+VLOOKUP($B309,$B$351:$E$368,4,FALSE))</f>
        <v>28.22</v>
      </c>
      <c r="O319" s="215">
        <v>10</v>
      </c>
      <c r="P319" s="211">
        <v>50.9</v>
      </c>
      <c r="Q319" s="212">
        <v>60.3</v>
      </c>
      <c r="R319" s="203">
        <f>ROUND((Q319-P319)/(Q308-P308),4)</f>
        <v>5.1999999999999998E-3</v>
      </c>
      <c r="S319" s="217">
        <f>ROUND(P319-P308*R319,2)</f>
        <v>22.82</v>
      </c>
      <c r="T319" s="211">
        <v>60.5</v>
      </c>
      <c r="U319" s="212">
        <v>71.8</v>
      </c>
      <c r="V319" s="203">
        <f>ROUND((U319-T319)/(U308-T308),4)</f>
        <v>6.3E-3</v>
      </c>
      <c r="W319" s="217">
        <f>ROUND(T319-T308*V319,2)</f>
        <v>26.48</v>
      </c>
      <c r="X319" s="211">
        <v>61.9</v>
      </c>
      <c r="Y319" s="212">
        <v>73.400000000000006</v>
      </c>
      <c r="Z319" s="203">
        <f>ROUND((Y319-X319)/(Y308-X308),4)</f>
        <v>6.4000000000000003E-3</v>
      </c>
      <c r="AA319" s="217">
        <f>ROUND(X319-X308*Z319,2)</f>
        <v>27.34</v>
      </c>
      <c r="AB319" s="211">
        <v>66.400000000000006</v>
      </c>
      <c r="AC319" s="212">
        <v>78.400000000000006</v>
      </c>
      <c r="AD319" s="203">
        <f>ROUND((AC319-AB319)/(AC308-AB308),4)</f>
        <v>6.7000000000000002E-3</v>
      </c>
      <c r="AE319" s="217">
        <f>ROUND(AB319-AB308*AD319,2)</f>
        <v>30.22</v>
      </c>
      <c r="AF319" s="211">
        <v>69.099999999999994</v>
      </c>
      <c r="AG319" s="212">
        <v>83.4</v>
      </c>
      <c r="AH319" s="203">
        <f>ROUND((AG319-AF319)/(AG308-AF308),4)</f>
        <v>7.9000000000000008E-3</v>
      </c>
      <c r="AI319" s="217">
        <f>ROUND(AF319-AF308*AH319,2)</f>
        <v>26.44</v>
      </c>
      <c r="AJ319" s="211">
        <v>81.400000000000006</v>
      </c>
      <c r="AK319" s="212">
        <v>98.4</v>
      </c>
      <c r="AL319" s="203">
        <f>ROUND((AK319-AJ319)/(AK308-AJ308),4)</f>
        <v>9.4000000000000004E-3</v>
      </c>
      <c r="AM319" s="217">
        <f>ROUND(AJ319-AJ308*AL319,2)</f>
        <v>30.64</v>
      </c>
      <c r="AN319" s="211">
        <v>84</v>
      </c>
      <c r="AO319" s="212">
        <v>101</v>
      </c>
      <c r="AP319" s="203">
        <f>ROUND((AO319-AN319)/(AO308-AN308),4)</f>
        <v>9.4000000000000004E-3</v>
      </c>
      <c r="AQ319" s="217">
        <f>ROUND(AN319-AN308*AP319,2)</f>
        <v>33.24</v>
      </c>
      <c r="AR319" s="211">
        <v>91.5</v>
      </c>
      <c r="AS319" s="212">
        <v>110</v>
      </c>
      <c r="AT319" s="203">
        <f>ROUND((AS319-AR319)/(AS308-AR308),4)</f>
        <v>1.03E-2</v>
      </c>
      <c r="AU319" s="217">
        <f>ROUND(AR319-AR308*AT319,2)</f>
        <v>35.880000000000003</v>
      </c>
    </row>
    <row r="320" spans="1:47">
      <c r="A320" t="s">
        <v>257</v>
      </c>
      <c r="B320" s="163" t="e">
        <f>ROUND(100*POWER(B319/VLOOKUP(B309,B$351:C$368,2,FALSE),2),1)</f>
        <v>#REF!</v>
      </c>
      <c r="D320" s="133">
        <v>13</v>
      </c>
      <c r="E320" s="133">
        <v>20</v>
      </c>
      <c r="F320" s="203">
        <f>INDEX($R309:$AU323,$D320,1+VLOOKUP($B309,$B$351:$E$368,4,FALSE))</f>
        <v>4.3E-3</v>
      </c>
      <c r="G320" s="203">
        <f>INDEX($R309:$AU323,$D320,2+VLOOKUP($B309,$B$351:$E$368,4,FALSE))</f>
        <v>18.489999999999998</v>
      </c>
      <c r="H320" s="203">
        <f>INDEX($R309:$AU323,$D320,5+VLOOKUP($B309,$B$351:$E$368,4,FALSE))</f>
        <v>5.3E-3</v>
      </c>
      <c r="I320" s="203">
        <f>INDEX($R309:$AU323,$D320,6+VLOOKUP($B309,$B$351:$E$368,4,FALSE))</f>
        <v>22.7</v>
      </c>
      <c r="J320" s="203">
        <f>INDEX($R309:$AU323,$D320,9+VLOOKUP($B309,$B$351:$E$368,4,FALSE))</f>
        <v>5.4999999999999997E-3</v>
      </c>
      <c r="K320" s="203">
        <f>INDEX($R309:$AU323,$D320,10+VLOOKUP($B309,$B$351:$E$368,4,FALSE))</f>
        <v>23.07</v>
      </c>
      <c r="L320" s="203">
        <f>INDEX($R309:$AU323,$D320,13+VLOOKUP($B309,$B$351:$E$368,4,FALSE))</f>
        <v>5.5999999999999999E-3</v>
      </c>
      <c r="M320" s="203">
        <f>INDEX($R309:$AU323,$D320,14+VLOOKUP($B309,$B$351:$E$368,4,FALSE))</f>
        <v>26.93</v>
      </c>
      <c r="O320" s="215">
        <v>15</v>
      </c>
      <c r="P320" s="211">
        <v>46.3</v>
      </c>
      <c r="Q320" s="212">
        <v>54.9</v>
      </c>
      <c r="R320" s="203">
        <f>ROUND((Q320-P320)/(Q308-P308),4)</f>
        <v>4.7999999999999996E-3</v>
      </c>
      <c r="S320" s="217">
        <f>ROUND(P320-P308*R320,2)</f>
        <v>20.38</v>
      </c>
      <c r="T320" s="211">
        <v>55.9</v>
      </c>
      <c r="U320" s="212">
        <v>66.400000000000006</v>
      </c>
      <c r="V320" s="203">
        <f>ROUND((U320-T320)/(U308-T308),4)</f>
        <v>5.7999999999999996E-3</v>
      </c>
      <c r="W320" s="217">
        <f>ROUND(T320-T308*V320,2)</f>
        <v>24.58</v>
      </c>
      <c r="X320" s="211">
        <v>57.4</v>
      </c>
      <c r="Y320" s="212">
        <v>68</v>
      </c>
      <c r="Z320" s="203">
        <f>ROUND((Y320-X320)/(Y308-X308),4)</f>
        <v>5.8999999999999999E-3</v>
      </c>
      <c r="AA320" s="217">
        <f>ROUND(X320-X308*Z320,2)</f>
        <v>25.54</v>
      </c>
      <c r="AB320" s="211">
        <v>61.7</v>
      </c>
      <c r="AC320" s="212">
        <v>72.900000000000006</v>
      </c>
      <c r="AD320" s="203">
        <f>ROUND((AC320-AB320)/(AC308-AB308),4)</f>
        <v>6.1999999999999998E-3</v>
      </c>
      <c r="AE320" s="217">
        <f>ROUND(AB320-AB308*AD320,2)</f>
        <v>28.22</v>
      </c>
      <c r="AF320" s="211">
        <v>63.1</v>
      </c>
      <c r="AG320" s="212">
        <v>76.099999999999994</v>
      </c>
      <c r="AH320" s="203">
        <f>ROUND((AG320-AF320)/(AG308-AF308),4)</f>
        <v>7.1999999999999998E-3</v>
      </c>
      <c r="AI320" s="217">
        <f>ROUND(AF320-AF308*AH320,2)</f>
        <v>24.22</v>
      </c>
      <c r="AJ320" s="211">
        <v>75.400000000000006</v>
      </c>
      <c r="AK320" s="212">
        <v>91.1</v>
      </c>
      <c r="AL320" s="203">
        <f>ROUND((AK320-AJ320)/(AK308-AJ308),4)</f>
        <v>8.6999999999999994E-3</v>
      </c>
      <c r="AM320" s="217">
        <f>ROUND(AJ320-AJ308*AL320,2)</f>
        <v>28.42</v>
      </c>
      <c r="AN320" s="211">
        <v>78</v>
      </c>
      <c r="AO320" s="212">
        <v>94</v>
      </c>
      <c r="AP320" s="203">
        <f>ROUND((AO320-AN320)/(AO308-AN308),4)</f>
        <v>8.8999999999999999E-3</v>
      </c>
      <c r="AQ320" s="217">
        <f>ROUND(AN320-AN308*AP320,2)</f>
        <v>29.94</v>
      </c>
      <c r="AR320" s="211">
        <v>85.5</v>
      </c>
      <c r="AS320" s="212">
        <v>103</v>
      </c>
      <c r="AT320" s="203">
        <f>ROUND((AS320-AR320)/(AS308-AR308),4)</f>
        <v>9.7000000000000003E-3</v>
      </c>
      <c r="AU320" s="217">
        <f>ROUND(AR320-AR308*AT320,2)</f>
        <v>33.119999999999997</v>
      </c>
    </row>
    <row r="321" spans="1:47">
      <c r="D321" s="133">
        <v>14</v>
      </c>
      <c r="E321" s="133">
        <v>25</v>
      </c>
      <c r="F321" s="203">
        <f>INDEX($R309:$AU323,$D321,1+VLOOKUP($B309,$B$351:$E$368,4,FALSE))</f>
        <v>3.8E-3</v>
      </c>
      <c r="G321" s="203">
        <f>INDEX($R309:$AU323,$D321,2+VLOOKUP($B309,$B$351:$E$368,4,FALSE))</f>
        <v>16.600000000000001</v>
      </c>
      <c r="H321" s="203">
        <f>INDEX($R309:$AU323,$D321,5+VLOOKUP($B309,$B$351:$E$368,4,FALSE))</f>
        <v>4.7999999999999996E-3</v>
      </c>
      <c r="I321" s="203">
        <f>INDEX($R309:$AU323,$D321,6+VLOOKUP($B309,$B$351:$E$368,4,FALSE))</f>
        <v>20.81</v>
      </c>
      <c r="J321" s="203">
        <f>INDEX($R309:$AU323,$D321,9+VLOOKUP($B309,$B$351:$E$368,4,FALSE))</f>
        <v>5.0000000000000001E-3</v>
      </c>
      <c r="K321" s="203">
        <f>INDEX($R309:$AU323,$D321,10+VLOOKUP($B309,$B$351:$E$368,4,FALSE))</f>
        <v>21.18</v>
      </c>
      <c r="L321" s="203">
        <f>INDEX($R309:$AU323,$D321,13+VLOOKUP($B309,$B$351:$E$368,4,FALSE))</f>
        <v>5.1000000000000004E-3</v>
      </c>
      <c r="M321" s="203">
        <f>INDEX($R309:$AU323,$D321,14+VLOOKUP($B309,$B$351:$E$368,4,FALSE))</f>
        <v>25.02</v>
      </c>
      <c r="O321" s="215">
        <v>20</v>
      </c>
      <c r="P321" s="211">
        <v>41.706666666666599</v>
      </c>
      <c r="Q321" s="212">
        <v>49.42</v>
      </c>
      <c r="R321" s="203">
        <f>ROUND((Q321-P321)/(Q308-P308),4)</f>
        <v>4.3E-3</v>
      </c>
      <c r="S321" s="217">
        <f>ROUND(P321-P308*R321,2)</f>
        <v>18.489999999999998</v>
      </c>
      <c r="T321" s="211">
        <v>51.32</v>
      </c>
      <c r="U321" s="212">
        <v>60.826666666666597</v>
      </c>
      <c r="V321" s="203">
        <f>ROUND((U321-T321)/(U308-T308),4)</f>
        <v>5.3E-3</v>
      </c>
      <c r="W321" s="217">
        <f>ROUND(T321-T308*V321,2)</f>
        <v>22.7</v>
      </c>
      <c r="X321" s="211">
        <v>52.766666666666701</v>
      </c>
      <c r="Y321" s="212">
        <v>62.58</v>
      </c>
      <c r="Z321" s="203">
        <f>ROUND((Y321-X321)/(Y308-X308),4)</f>
        <v>5.4999999999999997E-3</v>
      </c>
      <c r="AA321" s="217">
        <f>ROUND(X321-X308*Z321,2)</f>
        <v>23.07</v>
      </c>
      <c r="AB321" s="211">
        <v>57.1666666666667</v>
      </c>
      <c r="AC321" s="212">
        <v>67.326666666666597</v>
      </c>
      <c r="AD321" s="203">
        <f>ROUND((AC321-AB321)/(AC308-AB308),4)</f>
        <v>5.5999999999999999E-3</v>
      </c>
      <c r="AE321" s="217">
        <f>ROUND(AB321-AB308*AD321,2)</f>
        <v>26.93</v>
      </c>
      <c r="AF321" s="211">
        <v>57.093333333333298</v>
      </c>
      <c r="AG321" s="212">
        <v>69.673333333333304</v>
      </c>
      <c r="AH321" s="203">
        <f>ROUND((AG321-AF321)/(AG308-AF308),4)</f>
        <v>7.0000000000000001E-3</v>
      </c>
      <c r="AI321" s="217">
        <f>ROUND(AF321-AF308*AH321,2)</f>
        <v>19.29</v>
      </c>
      <c r="AJ321" s="211">
        <v>69.8333333333334</v>
      </c>
      <c r="AK321" s="212">
        <v>85.773333333333298</v>
      </c>
      <c r="AL321" s="203">
        <f>ROUND((AK321-AJ321)/(AK308-AJ308),4)</f>
        <v>8.8999999999999999E-3</v>
      </c>
      <c r="AM321" s="217">
        <f>ROUND(AJ321-AJ308*AL321,2)</f>
        <v>21.77</v>
      </c>
      <c r="AN321" s="211">
        <v>71.98</v>
      </c>
      <c r="AO321" s="212">
        <v>86.866666666666703</v>
      </c>
      <c r="AP321" s="203">
        <f>ROUND((AO321-AN321)/(AO308-AN308),4)</f>
        <v>8.3000000000000001E-3</v>
      </c>
      <c r="AQ321" s="217">
        <f>ROUND(AN321-AN308*AP321,2)</f>
        <v>27.16</v>
      </c>
      <c r="AR321" s="211">
        <v>79.5</v>
      </c>
      <c r="AS321" s="212">
        <v>95.4</v>
      </c>
      <c r="AT321" s="203">
        <f>ROUND((AS321-AR321)/(AS308-AR308),4)</f>
        <v>8.8000000000000005E-3</v>
      </c>
      <c r="AU321" s="217">
        <f>ROUND(AR321-AR308*AT321,2)</f>
        <v>31.98</v>
      </c>
    </row>
    <row r="322" spans="1:47">
      <c r="D322" s="133">
        <v>15</v>
      </c>
      <c r="E322" s="133">
        <v>30</v>
      </c>
      <c r="F322" s="203">
        <f>INDEX($R309:$AU323,$D322,1+VLOOKUP($B309,$B$351:$E$368,4,FALSE))</f>
        <v>3.3E-3</v>
      </c>
      <c r="G322" s="203">
        <f>INDEX($R309:$AU323,$D322,2+VLOOKUP($B309,$B$351:$E$368,4,FALSE))</f>
        <v>14.71</v>
      </c>
      <c r="H322" s="203">
        <f>INDEX($R309:$AU323,$D322,5+VLOOKUP($B309,$B$351:$E$368,4,FALSE))</f>
        <v>4.3E-3</v>
      </c>
      <c r="I322" s="203">
        <f>INDEX($R309:$AU323,$D322,6+VLOOKUP($B309,$B$351:$E$368,4,FALSE))</f>
        <v>18.93</v>
      </c>
      <c r="J322" s="203">
        <f>INDEX($R309:$AU323,$D322,9+VLOOKUP($B309,$B$351:$E$368,4,FALSE))</f>
        <v>4.4999999999999997E-3</v>
      </c>
      <c r="K322" s="203">
        <f>INDEX($R309:$AU323,$D322,10+VLOOKUP($B309,$B$351:$E$368,4,FALSE))</f>
        <v>19.28</v>
      </c>
      <c r="L322" s="203">
        <f>INDEX($R309:$AU323,$D322,13+VLOOKUP($B309,$B$351:$E$368,4,FALSE))</f>
        <v>4.5999999999999999E-3</v>
      </c>
      <c r="M322" s="203">
        <f>INDEX($R309:$AU323,$D322,14+VLOOKUP($B309,$B$351:$E$368,4,FALSE))</f>
        <v>23.12</v>
      </c>
      <c r="O322" s="215">
        <v>25</v>
      </c>
      <c r="P322" s="211">
        <v>37.118787878787799</v>
      </c>
      <c r="Q322" s="212">
        <v>43.9509090909091</v>
      </c>
      <c r="R322" s="203">
        <f>ROUND((Q322-P322)/(Q308-P308),4)</f>
        <v>3.8E-3</v>
      </c>
      <c r="S322" s="217">
        <f>ROUND(P322-P308*R322,2)</f>
        <v>16.600000000000001</v>
      </c>
      <c r="T322" s="211">
        <v>46.732727272727303</v>
      </c>
      <c r="U322" s="212">
        <v>55.327878787878703</v>
      </c>
      <c r="V322" s="203">
        <f>ROUND((U322-T322)/(U308-T308),4)</f>
        <v>4.7999999999999996E-3</v>
      </c>
      <c r="W322" s="217">
        <f>ROUND(T322-T308*V322,2)</f>
        <v>20.81</v>
      </c>
      <c r="X322" s="211">
        <v>48.175151515151498</v>
      </c>
      <c r="Y322" s="212">
        <v>57.118181818181803</v>
      </c>
      <c r="Z322" s="203">
        <f>ROUND((Y322-X322)/(Y308-X308),4)</f>
        <v>5.0000000000000001E-3</v>
      </c>
      <c r="AA322" s="217">
        <f>ROUND(X322-X308*Z322,2)</f>
        <v>21.18</v>
      </c>
      <c r="AB322" s="211">
        <v>52.562424242424299</v>
      </c>
      <c r="AC322" s="212">
        <v>61.771515151515104</v>
      </c>
      <c r="AD322" s="203">
        <f>ROUND((AC322-AB322)/(AC308-AB308),4)</f>
        <v>5.1000000000000004E-3</v>
      </c>
      <c r="AE322" s="217">
        <f>ROUND(AB322-AB308*AD322,2)</f>
        <v>25.02</v>
      </c>
      <c r="AF322" s="211">
        <v>51.108484848484899</v>
      </c>
      <c r="AG322" s="212">
        <v>62.6666666666666</v>
      </c>
      <c r="AH322" s="203">
        <f>ROUND((AG322-AF322)/(AG308-AF308),4)</f>
        <v>6.4000000000000003E-3</v>
      </c>
      <c r="AI322" s="217">
        <f>ROUND(AF322-AF308*AH322,2)</f>
        <v>16.55</v>
      </c>
      <c r="AJ322" s="211">
        <v>63.988484848484902</v>
      </c>
      <c r="AK322" s="212">
        <v>79.177575757575795</v>
      </c>
      <c r="AL322" s="203">
        <f>ROUND((AK322-AJ322)/(AK308-AJ308),4)</f>
        <v>8.3999999999999995E-3</v>
      </c>
      <c r="AM322" s="217">
        <f>ROUND(AJ322-AJ308*AL322,2)</f>
        <v>18.63</v>
      </c>
      <c r="AN322" s="211">
        <v>65.978181818181795</v>
      </c>
      <c r="AO322" s="212">
        <v>79.624242424242397</v>
      </c>
      <c r="AP322" s="203">
        <f>ROUND((AO322-AN322)/(AO308-AN308),4)</f>
        <v>7.6E-3</v>
      </c>
      <c r="AQ322" s="217">
        <f>ROUND(AN322-AN308*AP322,2)</f>
        <v>24.94</v>
      </c>
      <c r="AR322" s="211">
        <v>73.436363636363595</v>
      </c>
      <c r="AS322" s="212">
        <v>88.072727272727306</v>
      </c>
      <c r="AT322" s="203">
        <f>ROUND((AS322-AR322)/(AS308-AR308),4)</f>
        <v>8.0999999999999996E-3</v>
      </c>
      <c r="AU322" s="217">
        <f>ROUND(AR322-AR308*AT322,2)</f>
        <v>29.7</v>
      </c>
    </row>
    <row r="323" spans="1:47" ht="15" thickBot="1">
      <c r="O323" s="242">
        <v>30</v>
      </c>
      <c r="P323" s="243">
        <v>32.530909090909098</v>
      </c>
      <c r="Q323" s="244">
        <v>38.481818181818198</v>
      </c>
      <c r="R323" s="245">
        <f>ROUND((Q323-P323)/(Q308-P308),4)</f>
        <v>3.3E-3</v>
      </c>
      <c r="S323" s="246">
        <f>ROUND(P323-P308*R323,2)</f>
        <v>14.71</v>
      </c>
      <c r="T323" s="243">
        <v>42.145454545454598</v>
      </c>
      <c r="U323" s="244">
        <v>49.829090909090901</v>
      </c>
      <c r="V323" s="245">
        <f>ROUND((U323-T323)/(U308-T308),4)</f>
        <v>4.3E-3</v>
      </c>
      <c r="W323" s="246">
        <f>ROUND(T323-T308*V323,2)</f>
        <v>18.93</v>
      </c>
      <c r="X323" s="243">
        <v>43.583636363636401</v>
      </c>
      <c r="Y323" s="244">
        <v>51.656363636363601</v>
      </c>
      <c r="Z323" s="245">
        <f>ROUND((Y323-X323)/(Y308-X308),4)</f>
        <v>4.4999999999999997E-3</v>
      </c>
      <c r="AA323" s="246">
        <f>ROUND(X323-X308*Z323,2)</f>
        <v>19.28</v>
      </c>
      <c r="AB323" s="243">
        <v>47.958181818181799</v>
      </c>
      <c r="AC323" s="244">
        <v>56.216363636363603</v>
      </c>
      <c r="AD323" s="245">
        <f>ROUND((AC323-AB323)/(AC308-AB308),4)</f>
        <v>4.5999999999999999E-3</v>
      </c>
      <c r="AE323" s="246">
        <f>ROUND(AB323-AB308*AD323,2)</f>
        <v>23.12</v>
      </c>
      <c r="AF323" s="243">
        <v>45.1236363636364</v>
      </c>
      <c r="AG323" s="244">
        <v>55.66</v>
      </c>
      <c r="AH323" s="245">
        <f>ROUND((AG323-AF323)/(AG308-AF308),4)</f>
        <v>5.8999999999999999E-3</v>
      </c>
      <c r="AI323" s="246">
        <f>ROUND(AF323-AF308*AH323,2)</f>
        <v>13.26</v>
      </c>
      <c r="AJ323" s="243">
        <v>58.143636363636404</v>
      </c>
      <c r="AK323" s="244">
        <v>72.581818181818207</v>
      </c>
      <c r="AL323" s="245">
        <f>ROUND((AK323-AJ323)/(AK308-AJ308),4)</f>
        <v>8.0000000000000002E-3</v>
      </c>
      <c r="AM323" s="246">
        <f>ROUND(AJ323-AJ308*AL323,2)</f>
        <v>14.94</v>
      </c>
      <c r="AN323" s="243">
        <v>59.976363636363601</v>
      </c>
      <c r="AO323" s="244">
        <v>72.381818181818204</v>
      </c>
      <c r="AP323" s="245">
        <f>ROUND((AO323-AN323)/(AO308-AN308),4)</f>
        <v>6.8999999999999999E-3</v>
      </c>
      <c r="AQ323" s="246">
        <f>ROUND(AN323-AN308*AP323,2)</f>
        <v>22.72</v>
      </c>
      <c r="AR323" s="243">
        <v>67.372727272727204</v>
      </c>
      <c r="AS323" s="244">
        <v>80.745454545454606</v>
      </c>
      <c r="AT323" s="245">
        <f>ROUND((AS323-AR323)/(AS308-AR308),4)</f>
        <v>7.4000000000000003E-3</v>
      </c>
      <c r="AU323" s="246">
        <f>ROUND(AR323-AR308*AT323,2)</f>
        <v>27.41</v>
      </c>
    </row>
    <row r="324" spans="1:47" ht="15" thickBot="1">
      <c r="O324" s="247"/>
      <c r="P324" s="248"/>
      <c r="Q324" s="248"/>
      <c r="R324" s="249"/>
      <c r="S324" s="250"/>
      <c r="T324" s="248"/>
      <c r="U324" s="248"/>
      <c r="V324" s="249"/>
      <c r="W324" s="250"/>
      <c r="X324" s="248"/>
      <c r="Y324" s="248"/>
      <c r="Z324" s="249"/>
      <c r="AA324" s="250"/>
      <c r="AB324" s="248"/>
      <c r="AC324" s="248"/>
      <c r="AD324" s="249"/>
      <c r="AE324" s="250"/>
      <c r="AF324" s="248"/>
      <c r="AG324" s="248"/>
      <c r="AH324" s="249"/>
      <c r="AI324" s="250"/>
      <c r="AJ324" s="248"/>
      <c r="AK324" s="248"/>
      <c r="AL324" s="249"/>
      <c r="AM324" s="250"/>
      <c r="AN324" s="248"/>
      <c r="AO324" s="248"/>
      <c r="AP324" s="249"/>
      <c r="AQ324" s="250"/>
      <c r="AR324" s="248"/>
      <c r="AS324" s="248"/>
      <c r="AT324" s="249"/>
      <c r="AU324" s="250"/>
    </row>
    <row r="325" spans="1:47" ht="15" thickBot="1">
      <c r="E325" s="163"/>
      <c r="F325" s="596" t="s">
        <v>244</v>
      </c>
      <c r="G325" s="597"/>
      <c r="H325" s="597" t="s">
        <v>245</v>
      </c>
      <c r="I325" s="597"/>
      <c r="J325" s="597" t="s">
        <v>246</v>
      </c>
      <c r="K325" s="597"/>
      <c r="L325" s="597" t="s">
        <v>247</v>
      </c>
      <c r="M325" s="598"/>
      <c r="O325" s="204" t="s">
        <v>258</v>
      </c>
      <c r="P325" s="590" t="s">
        <v>298</v>
      </c>
      <c r="Q325" s="591"/>
      <c r="R325" s="591"/>
      <c r="S325" s="591"/>
      <c r="T325" s="591"/>
      <c r="U325" s="591"/>
      <c r="V325" s="591"/>
      <c r="W325" s="591"/>
      <c r="X325" s="591"/>
      <c r="Y325" s="591"/>
      <c r="Z325" s="591"/>
      <c r="AA325" s="591"/>
      <c r="AB325" s="591"/>
      <c r="AC325" s="591"/>
      <c r="AD325" s="591"/>
      <c r="AE325" s="592"/>
      <c r="AF325" s="590" t="s">
        <v>299</v>
      </c>
      <c r="AG325" s="591"/>
      <c r="AH325" s="591"/>
      <c r="AI325" s="591"/>
      <c r="AJ325" s="591"/>
      <c r="AK325" s="591"/>
      <c r="AL325" s="591"/>
      <c r="AM325" s="591"/>
      <c r="AN325" s="591"/>
      <c r="AO325" s="591"/>
      <c r="AP325" s="591"/>
      <c r="AQ325" s="591"/>
      <c r="AR325" s="591"/>
      <c r="AS325" s="591"/>
      <c r="AT325" s="591"/>
      <c r="AU325" s="592"/>
    </row>
    <row r="326" spans="1:47" ht="15" thickBot="1">
      <c r="E326" s="163"/>
      <c r="F326" s="221" t="s">
        <v>66</v>
      </c>
      <c r="G326" s="222" t="s">
        <v>249</v>
      </c>
      <c r="H326" s="222" t="s">
        <v>66</v>
      </c>
      <c r="I326" s="222" t="s">
        <v>249</v>
      </c>
      <c r="J326" s="222" t="s">
        <v>66</v>
      </c>
      <c r="K326" s="222" t="s">
        <v>249</v>
      </c>
      <c r="L326" s="222" t="s">
        <v>66</v>
      </c>
      <c r="M326" s="223" t="s">
        <v>249</v>
      </c>
      <c r="O326" s="205" t="s">
        <v>251</v>
      </c>
      <c r="P326" s="593" t="s">
        <v>276</v>
      </c>
      <c r="Q326" s="594"/>
      <c r="R326" s="594"/>
      <c r="S326" s="595"/>
      <c r="T326" s="593" t="s">
        <v>277</v>
      </c>
      <c r="U326" s="594"/>
      <c r="V326" s="594"/>
      <c r="W326" s="595"/>
      <c r="X326" s="593" t="s">
        <v>278</v>
      </c>
      <c r="Y326" s="594"/>
      <c r="Z326" s="594"/>
      <c r="AA326" s="595"/>
      <c r="AB326" s="593" t="s">
        <v>279</v>
      </c>
      <c r="AC326" s="594"/>
      <c r="AD326" s="594"/>
      <c r="AE326" s="595"/>
      <c r="AF326" s="593" t="s">
        <v>276</v>
      </c>
      <c r="AG326" s="594"/>
      <c r="AH326" s="594"/>
      <c r="AI326" s="595"/>
      <c r="AJ326" s="593" t="s">
        <v>277</v>
      </c>
      <c r="AK326" s="594"/>
      <c r="AL326" s="594"/>
      <c r="AM326" s="595"/>
      <c r="AN326" s="593" t="s">
        <v>278</v>
      </c>
      <c r="AO326" s="594"/>
      <c r="AP326" s="594"/>
      <c r="AQ326" s="595"/>
      <c r="AR326" s="593" t="s">
        <v>279</v>
      </c>
      <c r="AS326" s="594"/>
      <c r="AT326" s="594"/>
      <c r="AU326" s="595"/>
    </row>
    <row r="327" spans="1:47" ht="15" thickBot="1">
      <c r="A327" t="s">
        <v>248</v>
      </c>
      <c r="B327" s="163" t="e">
        <f>Задача_Расход</f>
        <v>#REF!</v>
      </c>
      <c r="D327" s="133">
        <v>1</v>
      </c>
      <c r="E327" s="133">
        <v>-40</v>
      </c>
      <c r="F327" s="220">
        <f>INDEX($R328:$AU342,$D327,1+VLOOKUP($B328,$B$351:$E$368,4,FALSE))</f>
        <v>1.38E-2</v>
      </c>
      <c r="G327" s="220">
        <f>INDEX($R328:$AU342,$D327,2+VLOOKUP($B328,$B$351:$E$368,4,FALSE))</f>
        <v>54.39</v>
      </c>
      <c r="H327" s="220">
        <f>INDEX($R328:$AU342,$D327,5+VLOOKUP($B328,$B$351:$E$368,4,FALSE))</f>
        <v>1.3899999999999999E-2</v>
      </c>
      <c r="I327" s="220">
        <f>INDEX($R328:$AU342,$D327,6+VLOOKUP($B328,$B$351:$E$368,4,FALSE))</f>
        <v>64.91</v>
      </c>
      <c r="J327" s="220">
        <f>INDEX($R328:$AU342,$D327,9+VLOOKUP($B328,$B$351:$E$368,4,FALSE))</f>
        <v>1.6500000000000001E-2</v>
      </c>
      <c r="K327" s="220">
        <f>INDEX($R328:$AU342,$D327,10+VLOOKUP($B328,$B$351:$E$368,4,FALSE))</f>
        <v>54.9</v>
      </c>
      <c r="L327" s="220">
        <f>INDEX($R328:$AU342,$D327,13+VLOOKUP($B328,$B$351:$E$368,4,FALSE))</f>
        <v>1.7299999999999999E-2</v>
      </c>
      <c r="M327" s="220">
        <f>INDEX($R328:$AU342,$D327,14+VLOOKUP($B328,$B$351:$E$368,4,FALSE))</f>
        <v>58.84</v>
      </c>
      <c r="O327" s="206" t="s">
        <v>248</v>
      </c>
      <c r="P327" s="207">
        <v>5400</v>
      </c>
      <c r="Q327" s="208">
        <v>7200</v>
      </c>
      <c r="R327" s="208"/>
      <c r="S327" s="209"/>
      <c r="T327" s="207">
        <v>5400</v>
      </c>
      <c r="U327" s="208">
        <v>7200</v>
      </c>
      <c r="V327" s="208"/>
      <c r="W327" s="209"/>
      <c r="X327" s="207">
        <v>5400</v>
      </c>
      <c r="Y327" s="208">
        <v>7200</v>
      </c>
      <c r="Z327" s="208"/>
      <c r="AA327" s="209"/>
      <c r="AB327" s="207">
        <v>5400</v>
      </c>
      <c r="AC327" s="208">
        <v>7200</v>
      </c>
      <c r="AD327" s="208"/>
      <c r="AE327" s="209"/>
      <c r="AF327" s="207">
        <v>5400</v>
      </c>
      <c r="AG327" s="208">
        <v>7200</v>
      </c>
      <c r="AH327" s="208"/>
      <c r="AI327" s="209"/>
      <c r="AJ327" s="207">
        <v>5400</v>
      </c>
      <c r="AK327" s="208">
        <v>7200</v>
      </c>
      <c r="AL327" s="208"/>
      <c r="AM327" s="209"/>
      <c r="AN327" s="207">
        <v>5400</v>
      </c>
      <c r="AO327" s="208">
        <v>7200</v>
      </c>
      <c r="AP327" s="208"/>
      <c r="AQ327" s="209"/>
      <c r="AR327" s="207">
        <v>5400</v>
      </c>
      <c r="AS327" s="208">
        <v>7200</v>
      </c>
      <c r="AT327" s="208"/>
      <c r="AU327" s="209"/>
    </row>
    <row r="328" spans="1:47">
      <c r="A328" t="s">
        <v>250</v>
      </c>
      <c r="B328" s="163" t="s">
        <v>283</v>
      </c>
      <c r="D328" s="133">
        <v>2</v>
      </c>
      <c r="E328" s="133">
        <v>-35</v>
      </c>
      <c r="F328" s="203">
        <f>INDEX($R328:$AU342,$D328,1+VLOOKUP($B328,$B$351:$E$368,4,FALSE))</f>
        <v>1.32E-2</v>
      </c>
      <c r="G328" s="203">
        <f>INDEX($R328:$AU342,$D328,2+VLOOKUP($B328,$B$351:$E$368,4,FALSE))</f>
        <v>51.65</v>
      </c>
      <c r="H328" s="203">
        <f>INDEX($R328:$AU342,$D328,5+VLOOKUP($B328,$B$351:$E$368,4,FALSE))</f>
        <v>1.34E-2</v>
      </c>
      <c r="I328" s="203">
        <f>INDEX($R328:$AU342,$D328,6+VLOOKUP($B328,$B$351:$E$368,4,FALSE))</f>
        <v>61.77</v>
      </c>
      <c r="J328" s="203">
        <f>INDEX($R328:$AU342,$D328,9+VLOOKUP($B328,$B$351:$E$368,4,FALSE))</f>
        <v>1.5900000000000001E-2</v>
      </c>
      <c r="K328" s="203">
        <f>INDEX($R328:$AU342,$D328,10+VLOOKUP($B328,$B$351:$E$368,4,FALSE))</f>
        <v>52.14</v>
      </c>
      <c r="L328" s="203">
        <f>INDEX($R328:$AU342,$D328,13+VLOOKUP($B328,$B$351:$E$368,4,FALSE))</f>
        <v>1.66E-2</v>
      </c>
      <c r="M328" s="203">
        <f>INDEX($R328:$AU342,$D328,14+VLOOKUP($B328,$B$351:$E$368,4,FALSE))</f>
        <v>56.56</v>
      </c>
      <c r="O328" s="210">
        <v>-40</v>
      </c>
      <c r="P328" s="211">
        <v>96.761212121212097</v>
      </c>
      <c r="Q328" s="212">
        <v>115.04909090909101</v>
      </c>
      <c r="R328" s="203">
        <f>ROUND((Q328-P328)/(Q327-P327),4)</f>
        <v>1.0200000000000001E-2</v>
      </c>
      <c r="S328" s="217">
        <f>ROUND(P328-P327*R328,2)</f>
        <v>41.68</v>
      </c>
      <c r="T328" s="211">
        <v>106.367272727273</v>
      </c>
      <c r="U328" s="212">
        <v>126.812121212121</v>
      </c>
      <c r="V328" s="203">
        <f>ROUND((U328-T328)/(U327-T327),4)</f>
        <v>1.14E-2</v>
      </c>
      <c r="W328" s="217">
        <f>ROUND(T328-T327*V328,2)</f>
        <v>44.81</v>
      </c>
      <c r="X328" s="211">
        <v>107.864848484848</v>
      </c>
      <c r="Y328" s="212">
        <v>128.12181818181801</v>
      </c>
      <c r="Z328" s="203">
        <f>ROUND((Y328-X328)/(Y327-X327),4)</f>
        <v>1.1299999999999999E-2</v>
      </c>
      <c r="AA328" s="217">
        <f>ROUND(X328-X327*Z328,2)</f>
        <v>46.84</v>
      </c>
      <c r="AB328" s="211">
        <v>112.417575757576</v>
      </c>
      <c r="AC328" s="212">
        <v>133.988484848485</v>
      </c>
      <c r="AD328" s="203">
        <f>ROUND((AC328-AB328)/(AC327-AB327),4)</f>
        <v>1.2E-2</v>
      </c>
      <c r="AE328" s="217">
        <f>ROUND(AB328-AB327*AD328,2)</f>
        <v>47.62</v>
      </c>
      <c r="AF328" s="211">
        <v>128.911515151515</v>
      </c>
      <c r="AG328" s="212">
        <v>153.75333333333299</v>
      </c>
      <c r="AH328" s="203">
        <f>ROUND((AG328-AF328)/(AG327-AF327),4)</f>
        <v>1.38E-2</v>
      </c>
      <c r="AI328" s="217">
        <f>ROUND(AF328-AF327*AH328,2)</f>
        <v>54.39</v>
      </c>
      <c r="AJ328" s="211">
        <v>139.97151515151501</v>
      </c>
      <c r="AK328" s="212">
        <v>164.922424242424</v>
      </c>
      <c r="AL328" s="203">
        <f>ROUND((AK328-AJ328)/(AK327-AJ327),4)</f>
        <v>1.3899999999999999E-2</v>
      </c>
      <c r="AM328" s="217">
        <f>ROUND(AJ328-AJ327*AL328,2)</f>
        <v>64.91</v>
      </c>
      <c r="AN328" s="211">
        <v>144.00181818181801</v>
      </c>
      <c r="AO328" s="212">
        <v>173.77575757575801</v>
      </c>
      <c r="AP328" s="203">
        <f>ROUND((AO328-AN328)/(AO327-AN327),4)</f>
        <v>1.6500000000000001E-2</v>
      </c>
      <c r="AQ328" s="217">
        <f>ROUND(AN328-AN327*AP328,2)</f>
        <v>54.9</v>
      </c>
      <c r="AR328" s="211">
        <v>152.26363636363601</v>
      </c>
      <c r="AS328" s="212">
        <v>183.327272727273</v>
      </c>
      <c r="AT328" s="203">
        <f>ROUND((AS328-AR328)/(AS327-AR327),4)</f>
        <v>1.7299999999999999E-2</v>
      </c>
      <c r="AU328" s="217">
        <f>ROUND(AR328-AR327*AT328,2)</f>
        <v>58.84</v>
      </c>
    </row>
    <row r="329" spans="1:47">
      <c r="A329" t="s">
        <v>251</v>
      </c>
      <c r="B329" s="163" t="e">
        <f>Задача_НагревательТеплоноситель</f>
        <v>#REF!</v>
      </c>
      <c r="D329" s="133">
        <v>3</v>
      </c>
      <c r="E329" s="133">
        <v>-30</v>
      </c>
      <c r="F329" s="203">
        <f>INDEX($R328:$AU342,$D329,1+VLOOKUP($B328,$B$351:$E$368,4,FALSE))</f>
        <v>1.2200000000000001E-2</v>
      </c>
      <c r="G329" s="203">
        <f>INDEX($R328:$AU342,$D329,2+VLOOKUP($B328,$B$351:$E$368,4,FALSE))</f>
        <v>51.12</v>
      </c>
      <c r="H329" s="203">
        <f>INDEX($R328:$AU342,$D329,5+VLOOKUP($B328,$B$351:$E$368,4,FALSE))</f>
        <v>1.2800000000000001E-2</v>
      </c>
      <c r="I329" s="203">
        <f>INDEX($R328:$AU342,$D329,6+VLOOKUP($B328,$B$351:$E$368,4,FALSE))</f>
        <v>58.88</v>
      </c>
      <c r="J329" s="203">
        <f>INDEX($R328:$AU342,$D329,9+VLOOKUP($B328,$B$351:$E$368,4,FALSE))</f>
        <v>1.4999999999999999E-2</v>
      </c>
      <c r="K329" s="203">
        <f>INDEX($R328:$AU342,$D329,10+VLOOKUP($B328,$B$351:$E$368,4,FALSE))</f>
        <v>51</v>
      </c>
      <c r="L329" s="203">
        <f>INDEX($R328:$AU342,$D329,13+VLOOKUP($B328,$B$351:$E$368,4,FALSE))</f>
        <v>1.61E-2</v>
      </c>
      <c r="M329" s="203">
        <f>INDEX($R328:$AU342,$D329,14+VLOOKUP($B328,$B$351:$E$368,4,FALSE))</f>
        <v>53.06</v>
      </c>
      <c r="O329" s="215">
        <v>-35</v>
      </c>
      <c r="P329" s="211">
        <v>92.173333333333304</v>
      </c>
      <c r="Q329" s="212">
        <v>109.58</v>
      </c>
      <c r="R329" s="203">
        <f>ROUND((Q329-P329)/(Q327-P327),4)</f>
        <v>9.7000000000000003E-3</v>
      </c>
      <c r="S329" s="217">
        <f>ROUND(P329-P327*R329,2)</f>
        <v>39.79</v>
      </c>
      <c r="T329" s="211">
        <v>101.78</v>
      </c>
      <c r="U329" s="212">
        <v>121.31333333333301</v>
      </c>
      <c r="V329" s="203">
        <f>ROUND((U329-T329)/(U327-T327),4)</f>
        <v>1.09E-2</v>
      </c>
      <c r="W329" s="217">
        <f>ROUND(T329-T327*V329,2)</f>
        <v>42.92</v>
      </c>
      <c r="X329" s="211">
        <v>103.273333333333</v>
      </c>
      <c r="Y329" s="212">
        <v>122.66</v>
      </c>
      <c r="Z329" s="203">
        <f>ROUND((Y329-X329)/(Y327-X327),4)</f>
        <v>1.0800000000000001E-2</v>
      </c>
      <c r="AA329" s="217">
        <f>ROUND(X329-X327*Z329,2)</f>
        <v>44.95</v>
      </c>
      <c r="AB329" s="211">
        <v>107.81333333333301</v>
      </c>
      <c r="AC329" s="212">
        <v>128.433333333333</v>
      </c>
      <c r="AD329" s="203">
        <f>ROUND((AC329-AB329)/(AC327-AB327),4)</f>
        <v>1.15E-2</v>
      </c>
      <c r="AE329" s="217">
        <f>ROUND(AB329-AB327*AD329,2)</f>
        <v>45.71</v>
      </c>
      <c r="AF329" s="211">
        <v>122.926666666667</v>
      </c>
      <c r="AG329" s="212">
        <v>146.74666666666701</v>
      </c>
      <c r="AH329" s="203">
        <f>ROUND((AG329-AF329)/(AG327-AF327),4)</f>
        <v>1.32E-2</v>
      </c>
      <c r="AI329" s="217">
        <f>ROUND(AF329-AF327*AH329,2)</f>
        <v>51.65</v>
      </c>
      <c r="AJ329" s="211">
        <v>134.12666666666701</v>
      </c>
      <c r="AK329" s="212">
        <v>158.32666666666699</v>
      </c>
      <c r="AL329" s="203">
        <f>ROUND((AK329-AJ329)/(AK327-AJ327),4)</f>
        <v>1.34E-2</v>
      </c>
      <c r="AM329" s="217">
        <f>ROUND(AJ329-AJ327*AL329,2)</f>
        <v>61.77</v>
      </c>
      <c r="AN329" s="211">
        <v>138</v>
      </c>
      <c r="AO329" s="212">
        <v>166.53333333333299</v>
      </c>
      <c r="AP329" s="203">
        <f>ROUND((AO329-AN329)/(AO327-AN327),4)</f>
        <v>1.5900000000000001E-2</v>
      </c>
      <c r="AQ329" s="217">
        <f>ROUND(AN329-AN327*AP329,2)</f>
        <v>52.14</v>
      </c>
      <c r="AR329" s="211">
        <v>146.19999999999999</v>
      </c>
      <c r="AS329" s="212">
        <v>176</v>
      </c>
      <c r="AT329" s="203">
        <f>ROUND((AS329-AR329)/(AS327-AR327),4)</f>
        <v>1.66E-2</v>
      </c>
      <c r="AU329" s="217">
        <f>ROUND(AR329-AR327*AT329,2)</f>
        <v>56.56</v>
      </c>
    </row>
    <row r="330" spans="1:47">
      <c r="A330" t="s">
        <v>253</v>
      </c>
      <c r="B330" s="163" t="e">
        <f>VLOOKUP("1000x500",ПП_Расчет!C$10:F$19,4,0)</f>
        <v>#REF!</v>
      </c>
      <c r="D330" s="133">
        <v>4</v>
      </c>
      <c r="E330" s="133">
        <v>-25</v>
      </c>
      <c r="F330" s="203">
        <f>INDEX($R328:$AU342,$D330,1+VLOOKUP($B328,$B$351:$E$368,4,FALSE))</f>
        <v>1.17E-2</v>
      </c>
      <c r="G330" s="203">
        <f>INDEX($R328:$AU342,$D330,2+VLOOKUP($B328,$B$351:$E$368,4,FALSE))</f>
        <v>47.82</v>
      </c>
      <c r="H330" s="203">
        <f>INDEX($R328:$AU342,$D330,5+VLOOKUP($B328,$B$351:$E$368,4,FALSE))</f>
        <v>1.2800000000000001E-2</v>
      </c>
      <c r="I330" s="203">
        <f>INDEX($R328:$AU342,$D330,6+VLOOKUP($B328,$B$351:$E$368,4,FALSE))</f>
        <v>52.88</v>
      </c>
      <c r="J330" s="203">
        <f>INDEX($R328:$AU342,$D330,9+VLOOKUP($B328,$B$351:$E$368,4,FALSE))</f>
        <v>1.44E-2</v>
      </c>
      <c r="K330" s="203">
        <f>INDEX($R328:$AU342,$D330,10+VLOOKUP($B328,$B$351:$E$368,4,FALSE))</f>
        <v>48.24</v>
      </c>
      <c r="L330" s="203">
        <f>INDEX($R328:$AU342,$D330,13+VLOOKUP($B328,$B$351:$E$368,4,FALSE))</f>
        <v>1.4999999999999999E-2</v>
      </c>
      <c r="M330" s="203">
        <f>INDEX($R328:$AU342,$D330,14+VLOOKUP($B328,$B$351:$E$368,4,FALSE))</f>
        <v>53</v>
      </c>
      <c r="O330" s="215">
        <v>-30</v>
      </c>
      <c r="P330" s="211">
        <v>87.6</v>
      </c>
      <c r="Q330" s="212">
        <v>104</v>
      </c>
      <c r="R330" s="203">
        <f>ROUND((Q330-P330)/(Q327-P327),4)</f>
        <v>9.1000000000000004E-3</v>
      </c>
      <c r="S330" s="217">
        <f>ROUND(P330-P327*R330,2)</f>
        <v>38.46</v>
      </c>
      <c r="T330" s="211">
        <v>97.2</v>
      </c>
      <c r="U330" s="212">
        <v>116</v>
      </c>
      <c r="V330" s="203">
        <f>ROUND((U330-T330)/(U327-T327),4)</f>
        <v>1.04E-2</v>
      </c>
      <c r="W330" s="217">
        <f>ROUND(T330-T327*V330,2)</f>
        <v>41.04</v>
      </c>
      <c r="X330" s="211">
        <v>98.7</v>
      </c>
      <c r="Y330" s="212">
        <v>117</v>
      </c>
      <c r="Z330" s="203">
        <f>ROUND((Y330-X330)/(Y327-X327),4)</f>
        <v>1.0200000000000001E-2</v>
      </c>
      <c r="AA330" s="217">
        <f>ROUND(X330-X327*Z330,2)</f>
        <v>43.62</v>
      </c>
      <c r="AB330" s="211">
        <v>103</v>
      </c>
      <c r="AC330" s="212">
        <v>123</v>
      </c>
      <c r="AD330" s="203">
        <f>ROUND((AC330-AB330)/(AC327-AB327),4)</f>
        <v>1.11E-2</v>
      </c>
      <c r="AE330" s="217">
        <f>ROUND(AB330-AB327*AD330,2)</f>
        <v>43.06</v>
      </c>
      <c r="AF330" s="211">
        <v>117</v>
      </c>
      <c r="AG330" s="212">
        <v>139</v>
      </c>
      <c r="AH330" s="203">
        <f>ROUND((AG330-AF330)/(AG327-AF327),4)</f>
        <v>1.2200000000000001E-2</v>
      </c>
      <c r="AI330" s="217">
        <f>ROUND(AF330-AF327*AH330,2)</f>
        <v>51.12</v>
      </c>
      <c r="AJ330" s="211">
        <v>128</v>
      </c>
      <c r="AK330" s="212">
        <v>151</v>
      </c>
      <c r="AL330" s="203">
        <f>ROUND((AK330-AJ330)/(AK327-AJ327),4)</f>
        <v>1.2800000000000001E-2</v>
      </c>
      <c r="AM330" s="217">
        <f>ROUND(AJ330-AJ327*AL330,2)</f>
        <v>58.88</v>
      </c>
      <c r="AN330" s="211">
        <v>132</v>
      </c>
      <c r="AO330" s="212">
        <v>159</v>
      </c>
      <c r="AP330" s="203">
        <f>ROUND((AO330-AN330)/(AO327-AN327),4)</f>
        <v>1.4999999999999999E-2</v>
      </c>
      <c r="AQ330" s="217">
        <f>ROUND(AN330-AN327*AP330,2)</f>
        <v>51</v>
      </c>
      <c r="AR330" s="211">
        <v>140</v>
      </c>
      <c r="AS330" s="212">
        <v>169</v>
      </c>
      <c r="AT330" s="203">
        <f>ROUND((AS330-AR330)/(AS327-AR327),4)</f>
        <v>1.61E-2</v>
      </c>
      <c r="AU330" s="217">
        <f>ROUND(AR330-AR327*AT330,2)</f>
        <v>53.06</v>
      </c>
    </row>
    <row r="331" spans="1:47">
      <c r="D331" s="133">
        <v>5</v>
      </c>
      <c r="E331" s="133">
        <v>-20</v>
      </c>
      <c r="F331" s="203">
        <f>INDEX($R328:$AU342,$D331,1+VLOOKUP($B328,$B$351:$E$368,4,FALSE))</f>
        <v>1.17E-2</v>
      </c>
      <c r="G331" s="203">
        <f>INDEX($R328:$AU342,$D331,2+VLOOKUP($B328,$B$351:$E$368,4,FALSE))</f>
        <v>41.82</v>
      </c>
      <c r="H331" s="203">
        <f>INDEX($R328:$AU342,$D331,5+VLOOKUP($B328,$B$351:$E$368,4,FALSE))</f>
        <v>1.17E-2</v>
      </c>
      <c r="I331" s="203">
        <f>INDEX($R328:$AU342,$D331,6+VLOOKUP($B328,$B$351:$E$368,4,FALSE))</f>
        <v>53.82</v>
      </c>
      <c r="J331" s="203">
        <f>INDEX($R328:$AU342,$D331,9+VLOOKUP($B328,$B$351:$E$368,4,FALSE))</f>
        <v>1.3899999999999999E-2</v>
      </c>
      <c r="K331" s="203">
        <f>INDEX($R328:$AU342,$D331,10+VLOOKUP($B328,$B$351:$E$368,4,FALSE))</f>
        <v>44.94</v>
      </c>
      <c r="L331" s="203">
        <f>INDEX($R328:$AU342,$D331,13+VLOOKUP($B328,$B$351:$E$368,4,FALSE))</f>
        <v>1.44E-2</v>
      </c>
      <c r="M331" s="203">
        <f>INDEX($R328:$AU342,$D331,14+VLOOKUP($B328,$B$351:$E$368,4,FALSE))</f>
        <v>50.24</v>
      </c>
      <c r="O331" s="215">
        <v>-25</v>
      </c>
      <c r="P331" s="211">
        <v>83</v>
      </c>
      <c r="Q331" s="212">
        <v>98.7</v>
      </c>
      <c r="R331" s="203">
        <f>ROUND((Q331-P331)/(Q327-P327),4)</f>
        <v>8.6999999999999994E-3</v>
      </c>
      <c r="S331" s="217">
        <f>ROUND(P331-P327*R331,2)</f>
        <v>36.020000000000003</v>
      </c>
      <c r="T331" s="211">
        <v>92.6</v>
      </c>
      <c r="U331" s="212">
        <v>110</v>
      </c>
      <c r="V331" s="203">
        <f>ROUND((U331-T331)/(U327-T327),4)</f>
        <v>9.7000000000000003E-3</v>
      </c>
      <c r="W331" s="217">
        <f>ROUND(T331-T327*V331,2)</f>
        <v>40.22</v>
      </c>
      <c r="X331" s="211">
        <v>94.1</v>
      </c>
      <c r="Y331" s="212">
        <v>112</v>
      </c>
      <c r="Z331" s="203">
        <f>ROUND((Y331-X331)/(Y327-X327),4)</f>
        <v>9.9000000000000008E-3</v>
      </c>
      <c r="AA331" s="217">
        <f>ROUND(X331-X327*Z331,2)</f>
        <v>40.64</v>
      </c>
      <c r="AB331" s="211">
        <v>98.7</v>
      </c>
      <c r="AC331" s="212">
        <v>117</v>
      </c>
      <c r="AD331" s="203">
        <f>ROUND((AC331-AB331)/(AC327-AB327),4)</f>
        <v>1.0200000000000001E-2</v>
      </c>
      <c r="AE331" s="217">
        <f>ROUND(AB331-AB327*AD331,2)</f>
        <v>43.62</v>
      </c>
      <c r="AF331" s="211">
        <v>111</v>
      </c>
      <c r="AG331" s="212">
        <v>132</v>
      </c>
      <c r="AH331" s="203">
        <f>ROUND((AG331-AF331)/(AG327-AF327),4)</f>
        <v>1.17E-2</v>
      </c>
      <c r="AI331" s="217">
        <f>ROUND(AF331-AF327*AH331,2)</f>
        <v>47.82</v>
      </c>
      <c r="AJ331" s="211">
        <v>122</v>
      </c>
      <c r="AK331" s="212">
        <v>145</v>
      </c>
      <c r="AL331" s="203">
        <f>ROUND((AK331-AJ331)/(AK327-AJ327),4)</f>
        <v>1.2800000000000001E-2</v>
      </c>
      <c r="AM331" s="217">
        <f>ROUND(AJ331-AJ327*AL331,2)</f>
        <v>52.88</v>
      </c>
      <c r="AN331" s="211">
        <v>126</v>
      </c>
      <c r="AO331" s="212">
        <v>152</v>
      </c>
      <c r="AP331" s="203">
        <f>ROUND((AO331-AN331)/(AO327-AN327),4)</f>
        <v>1.44E-2</v>
      </c>
      <c r="AQ331" s="217">
        <f>ROUND(AN331-AN327*AP331,2)</f>
        <v>48.24</v>
      </c>
      <c r="AR331" s="211">
        <v>134</v>
      </c>
      <c r="AS331" s="212">
        <v>161</v>
      </c>
      <c r="AT331" s="203">
        <f>ROUND((AS331-AR331)/(AS327-AR327),4)</f>
        <v>1.4999999999999999E-2</v>
      </c>
      <c r="AU331" s="217">
        <f>ROUND(AR331-AR327*AT331,2)</f>
        <v>53</v>
      </c>
    </row>
    <row r="332" spans="1:47">
      <c r="A332" t="s">
        <v>66</v>
      </c>
      <c r="B332" s="163" t="e">
        <f>VLOOKUP(B330,E327:M341,VLOOKUP(B329,B$345:D$348,2,FALSE))</f>
        <v>#REF!</v>
      </c>
      <c r="D332" s="133">
        <v>6</v>
      </c>
      <c r="E332" s="133">
        <v>-15</v>
      </c>
      <c r="F332" s="203">
        <f>INDEX($R328:$AU342,$D332,1+VLOOKUP($B328,$B$351:$E$368,4,FALSE))</f>
        <v>1.17E-2</v>
      </c>
      <c r="G332" s="203">
        <f>INDEX($R328:$AU342,$D332,2+VLOOKUP($B328,$B$351:$E$368,4,FALSE))</f>
        <v>35.72</v>
      </c>
      <c r="H332" s="203">
        <f>INDEX($R328:$AU342,$D332,5+VLOOKUP($B328,$B$351:$E$368,4,FALSE))</f>
        <v>1.17E-2</v>
      </c>
      <c r="I332" s="203">
        <f>INDEX($R328:$AU342,$D332,6+VLOOKUP($B328,$B$351:$E$368,4,FALSE))</f>
        <v>47.82</v>
      </c>
      <c r="J332" s="203">
        <f>INDEX($R328:$AU342,$D332,9+VLOOKUP($B328,$B$351:$E$368,4,FALSE))</f>
        <v>1.3299999999999999E-2</v>
      </c>
      <c r="K332" s="203">
        <f>INDEX($R328:$AU342,$D332,10+VLOOKUP($B328,$B$351:$E$368,4,FALSE))</f>
        <v>42.18</v>
      </c>
      <c r="L332" s="203">
        <f>INDEX($R328:$AU342,$D332,13+VLOOKUP($B328,$B$351:$E$368,4,FALSE))</f>
        <v>1.3899999999999999E-2</v>
      </c>
      <c r="M332" s="203">
        <f>INDEX($R328:$AU342,$D332,14+VLOOKUP($B328,$B$351:$E$368,4,FALSE))</f>
        <v>46.94</v>
      </c>
      <c r="O332" s="215">
        <v>-20</v>
      </c>
      <c r="P332" s="211">
        <v>78.400000000000006</v>
      </c>
      <c r="Q332" s="212">
        <v>93.2</v>
      </c>
      <c r="R332" s="203">
        <f>ROUND((Q332-P332)/(Q327-P327),4)</f>
        <v>8.2000000000000007E-3</v>
      </c>
      <c r="S332" s="217">
        <f>ROUND(P332-P327*R332,2)</f>
        <v>34.119999999999997</v>
      </c>
      <c r="T332" s="211">
        <v>88</v>
      </c>
      <c r="U332" s="212">
        <v>105</v>
      </c>
      <c r="V332" s="203">
        <f>ROUND((U332-T332)/(U327-T327),4)</f>
        <v>9.4000000000000004E-3</v>
      </c>
      <c r="W332" s="217">
        <f>ROUND(T332-T327*V332,2)</f>
        <v>37.24</v>
      </c>
      <c r="X332" s="211">
        <v>89.5</v>
      </c>
      <c r="Y332" s="212">
        <v>106</v>
      </c>
      <c r="Z332" s="203">
        <f>ROUND((Y332-X332)/(Y327-X327),4)</f>
        <v>9.1999999999999998E-3</v>
      </c>
      <c r="AA332" s="217">
        <f>ROUND(X332-X327*Z332,2)</f>
        <v>39.82</v>
      </c>
      <c r="AB332" s="211">
        <v>94.1</v>
      </c>
      <c r="AC332" s="212">
        <v>112</v>
      </c>
      <c r="AD332" s="203">
        <f>ROUND((AC332-AB332)/(AC327-AB327),4)</f>
        <v>9.9000000000000008E-3</v>
      </c>
      <c r="AE332" s="217">
        <f>ROUND(AB332-AB327*AD332,2)</f>
        <v>40.64</v>
      </c>
      <c r="AF332" s="211">
        <v>105</v>
      </c>
      <c r="AG332" s="212">
        <v>126</v>
      </c>
      <c r="AH332" s="203">
        <f>ROUND((AG332-AF332)/(AG327-AF327),4)</f>
        <v>1.17E-2</v>
      </c>
      <c r="AI332" s="217">
        <f>ROUND(AF332-AF327*AH332,2)</f>
        <v>41.82</v>
      </c>
      <c r="AJ332" s="211">
        <v>117</v>
      </c>
      <c r="AK332" s="212">
        <v>138</v>
      </c>
      <c r="AL332" s="203">
        <f>ROUND((AK332-AJ332)/(AK327-AJ327),4)</f>
        <v>1.17E-2</v>
      </c>
      <c r="AM332" s="217">
        <f>ROUND(AJ332-AJ327*AL332,2)</f>
        <v>53.82</v>
      </c>
      <c r="AN332" s="211">
        <v>120</v>
      </c>
      <c r="AO332" s="212">
        <v>145</v>
      </c>
      <c r="AP332" s="203">
        <f>ROUND((AO332-AN332)/(AO327-AN327),4)</f>
        <v>1.3899999999999999E-2</v>
      </c>
      <c r="AQ332" s="217">
        <f>ROUND(AN332-AN327*AP332,2)</f>
        <v>44.94</v>
      </c>
      <c r="AR332" s="211">
        <v>128</v>
      </c>
      <c r="AS332" s="212">
        <v>154</v>
      </c>
      <c r="AT332" s="203">
        <f>ROUND((AS332-AR332)/(AS327-AR327),4)</f>
        <v>1.44E-2</v>
      </c>
      <c r="AU332" s="217">
        <f>ROUND(AR332-AR327*AT332,2)</f>
        <v>50.24</v>
      </c>
    </row>
    <row r="333" spans="1:47">
      <c r="A333" t="s">
        <v>249</v>
      </c>
      <c r="B333" s="163" t="e">
        <f>VLOOKUP(B330,E327:M341,VLOOKUP(B329,B$345:D$348,3,FALSE))</f>
        <v>#REF!</v>
      </c>
      <c r="D333" s="133">
        <v>7</v>
      </c>
      <c r="E333" s="133">
        <v>-10</v>
      </c>
      <c r="F333" s="203">
        <f>INDEX($R328:$AU342,$D333,1+VLOOKUP($B328,$B$351:$E$368,4,FALSE))</f>
        <v>1.06E-2</v>
      </c>
      <c r="G333" s="203">
        <f>INDEX($R328:$AU342,$D333,2+VLOOKUP($B328,$B$351:$E$368,4,FALSE))</f>
        <v>35.659999999999997</v>
      </c>
      <c r="H333" s="203">
        <f>INDEX($R328:$AU342,$D333,5+VLOOKUP($B328,$B$351:$E$368,4,FALSE))</f>
        <v>1.17E-2</v>
      </c>
      <c r="I333" s="203">
        <f>INDEX($R328:$AU342,$D333,6+VLOOKUP($B328,$B$351:$E$368,4,FALSE))</f>
        <v>41.82</v>
      </c>
      <c r="J333" s="203">
        <f>INDEX($R328:$AU342,$D333,9+VLOOKUP($B328,$B$351:$E$368,4,FALSE))</f>
        <v>1.2200000000000001E-2</v>
      </c>
      <c r="K333" s="203">
        <f>INDEX($R328:$AU342,$D333,10+VLOOKUP($B328,$B$351:$E$368,4,FALSE))</f>
        <v>42.12</v>
      </c>
      <c r="L333" s="203">
        <f>INDEX($R328:$AU342,$D333,13+VLOOKUP($B328,$B$351:$E$368,4,FALSE))</f>
        <v>1.2800000000000001E-2</v>
      </c>
      <c r="M333" s="203">
        <f>INDEX($R328:$AU342,$D333,14+VLOOKUP($B328,$B$351:$E$368,4,FALSE))</f>
        <v>46.88</v>
      </c>
      <c r="O333" s="215">
        <v>-15</v>
      </c>
      <c r="P333" s="211">
        <v>73.8</v>
      </c>
      <c r="Q333" s="212">
        <v>87.7</v>
      </c>
      <c r="R333" s="203">
        <f>ROUND((Q333-P333)/(Q327-P327),4)</f>
        <v>7.7000000000000002E-3</v>
      </c>
      <c r="S333" s="217">
        <f>ROUND(P333-P327*R333,2)</f>
        <v>32.22</v>
      </c>
      <c r="T333" s="211">
        <v>83.4</v>
      </c>
      <c r="U333" s="212">
        <v>99.3</v>
      </c>
      <c r="V333" s="203">
        <f>ROUND((U333-T333)/(U327-T327),4)</f>
        <v>8.8000000000000005E-3</v>
      </c>
      <c r="W333" s="217">
        <f>ROUND(T333-T327*V333,2)</f>
        <v>35.880000000000003</v>
      </c>
      <c r="X333" s="211">
        <v>84.9</v>
      </c>
      <c r="Y333" s="212">
        <v>101</v>
      </c>
      <c r="Z333" s="203">
        <f>ROUND((Y333-X333)/(Y327-X327),4)</f>
        <v>8.8999999999999999E-3</v>
      </c>
      <c r="AA333" s="217">
        <f>ROUND(X333-X327*Z333,2)</f>
        <v>36.840000000000003</v>
      </c>
      <c r="AB333" s="211">
        <v>89.4</v>
      </c>
      <c r="AC333" s="212">
        <v>106</v>
      </c>
      <c r="AD333" s="203">
        <f>ROUND((AC333-AB333)/(AC327-AB327),4)</f>
        <v>9.1999999999999998E-3</v>
      </c>
      <c r="AE333" s="217">
        <f>ROUND(AB333-AB327*AD333,2)</f>
        <v>39.72</v>
      </c>
      <c r="AF333" s="211">
        <v>98.9</v>
      </c>
      <c r="AG333" s="212">
        <v>120</v>
      </c>
      <c r="AH333" s="203">
        <f>ROUND((AG333-AF333)/(AG327-AF327),4)</f>
        <v>1.17E-2</v>
      </c>
      <c r="AI333" s="217">
        <f>ROUND(AF333-AF327*AH333,2)</f>
        <v>35.72</v>
      </c>
      <c r="AJ333" s="211">
        <v>111</v>
      </c>
      <c r="AK333" s="212">
        <v>132</v>
      </c>
      <c r="AL333" s="203">
        <f>ROUND((AK333-AJ333)/(AK327-AJ327),4)</f>
        <v>1.17E-2</v>
      </c>
      <c r="AM333" s="217">
        <f>ROUND(AJ333-AJ327*AL333,2)</f>
        <v>47.82</v>
      </c>
      <c r="AN333" s="211">
        <v>114</v>
      </c>
      <c r="AO333" s="212">
        <v>138</v>
      </c>
      <c r="AP333" s="203">
        <f>ROUND((AO333-AN333)/(AO327-AN327),4)</f>
        <v>1.3299999999999999E-2</v>
      </c>
      <c r="AQ333" s="217">
        <f>ROUND(AN333-AN327*AP333,2)</f>
        <v>42.18</v>
      </c>
      <c r="AR333" s="211">
        <v>122</v>
      </c>
      <c r="AS333" s="212">
        <v>147</v>
      </c>
      <c r="AT333" s="203">
        <f>ROUND((AS333-AR333)/(AS327-AR327),4)</f>
        <v>1.3899999999999999E-2</v>
      </c>
      <c r="AU333" s="217">
        <f>ROUND(AR333-AR327*AT333,2)</f>
        <v>46.94</v>
      </c>
    </row>
    <row r="334" spans="1:47">
      <c r="D334" s="133">
        <v>8</v>
      </c>
      <c r="E334" s="133">
        <v>-5</v>
      </c>
      <c r="F334" s="203">
        <f>INDEX($R328:$AU342,$D334,1+VLOOKUP($B328,$B$351:$E$368,4,FALSE))</f>
        <v>0.01</v>
      </c>
      <c r="G334" s="203">
        <f>INDEX($R328:$AU342,$D334,2+VLOOKUP($B328,$B$351:$E$368,4,FALSE))</f>
        <v>33</v>
      </c>
      <c r="H334" s="203">
        <f>INDEX($R328:$AU342,$D334,5+VLOOKUP($B328,$B$351:$E$368,4,FALSE))</f>
        <v>1.15E-2</v>
      </c>
      <c r="I334" s="203">
        <f>INDEX($R328:$AU342,$D334,6+VLOOKUP($B328,$B$351:$E$368,4,FALSE))</f>
        <v>37.200000000000003</v>
      </c>
      <c r="J334" s="203">
        <f>INDEX($R328:$AU342,$D334,9+VLOOKUP($B328,$B$351:$E$368,4,FALSE))</f>
        <v>1.17E-2</v>
      </c>
      <c r="K334" s="203">
        <f>INDEX($R328:$AU342,$D334,10+VLOOKUP($B328,$B$351:$E$368,4,FALSE))</f>
        <v>38.82</v>
      </c>
      <c r="L334" s="203">
        <f>INDEX($R328:$AU342,$D334,13+VLOOKUP($B328,$B$351:$E$368,4,FALSE))</f>
        <v>1.2200000000000001E-2</v>
      </c>
      <c r="M334" s="203">
        <f>INDEX($R328:$AU342,$D334,14+VLOOKUP($B328,$B$351:$E$368,4,FALSE))</f>
        <v>44.12</v>
      </c>
      <c r="O334" s="215">
        <v>-10</v>
      </c>
      <c r="P334" s="211">
        <v>69.2</v>
      </c>
      <c r="Q334" s="212">
        <v>82.3</v>
      </c>
      <c r="R334" s="203">
        <f>ROUND((Q334-P334)/(Q327-P327),4)</f>
        <v>7.3000000000000001E-3</v>
      </c>
      <c r="S334" s="217">
        <f>ROUND(P334-P327*R334,2)</f>
        <v>29.78</v>
      </c>
      <c r="T334" s="211">
        <v>78.900000000000006</v>
      </c>
      <c r="U334" s="212">
        <v>93.8</v>
      </c>
      <c r="V334" s="203">
        <f>ROUND((U334-T334)/(U327-T327),4)</f>
        <v>8.3000000000000001E-3</v>
      </c>
      <c r="W334" s="217">
        <f>ROUND(T334-T327*V334,2)</f>
        <v>34.08</v>
      </c>
      <c r="X334" s="211">
        <v>80.3</v>
      </c>
      <c r="Y334" s="212">
        <v>95.4</v>
      </c>
      <c r="Z334" s="203">
        <f>ROUND((Y334-X334)/(Y327-X327),4)</f>
        <v>8.3999999999999995E-3</v>
      </c>
      <c r="AA334" s="217">
        <f>ROUND(X334-X327*Z334,2)</f>
        <v>34.94</v>
      </c>
      <c r="AB334" s="211">
        <v>84.9</v>
      </c>
      <c r="AC334" s="212">
        <v>101</v>
      </c>
      <c r="AD334" s="203">
        <f>ROUND((AC334-AB334)/(AC327-AB327),4)</f>
        <v>8.8999999999999999E-3</v>
      </c>
      <c r="AE334" s="217">
        <f>ROUND(AB334-AB327*AD334,2)</f>
        <v>36.840000000000003</v>
      </c>
      <c r="AF334" s="211">
        <v>92.9</v>
      </c>
      <c r="AG334" s="212">
        <v>112</v>
      </c>
      <c r="AH334" s="203">
        <f>ROUND((AG334-AF334)/(AG327-AF327),4)</f>
        <v>1.06E-2</v>
      </c>
      <c r="AI334" s="217">
        <f>ROUND(AF334-AF327*AH334,2)</f>
        <v>35.659999999999997</v>
      </c>
      <c r="AJ334" s="211">
        <v>105</v>
      </c>
      <c r="AK334" s="212">
        <v>126</v>
      </c>
      <c r="AL334" s="203">
        <f>ROUND((AK334-AJ334)/(AK327-AJ327),4)</f>
        <v>1.17E-2</v>
      </c>
      <c r="AM334" s="217">
        <f>ROUND(AJ334-AJ327*AL334,2)</f>
        <v>41.82</v>
      </c>
      <c r="AN334" s="211">
        <v>108</v>
      </c>
      <c r="AO334" s="212">
        <v>130</v>
      </c>
      <c r="AP334" s="203">
        <f>ROUND((AO334-AN334)/(AO327-AN327),4)</f>
        <v>1.2200000000000001E-2</v>
      </c>
      <c r="AQ334" s="217">
        <f>ROUND(AN334-AN327*AP334,2)</f>
        <v>42.12</v>
      </c>
      <c r="AR334" s="211">
        <v>116</v>
      </c>
      <c r="AS334" s="212">
        <v>139</v>
      </c>
      <c r="AT334" s="203">
        <f>ROUND((AS334-AR334)/(AS327-AR327),4)</f>
        <v>1.2800000000000001E-2</v>
      </c>
      <c r="AU334" s="217">
        <f>ROUND(AR334-AR327*AT334,2)</f>
        <v>46.88</v>
      </c>
    </row>
    <row r="335" spans="1:47">
      <c r="A335" t="s">
        <v>254</v>
      </c>
      <c r="B335" s="163" t="e">
        <f>B327*B332+B333</f>
        <v>#REF!</v>
      </c>
      <c r="D335" s="133">
        <v>9</v>
      </c>
      <c r="E335" s="133">
        <v>0</v>
      </c>
      <c r="F335" s="203">
        <f>INDEX($R328:$AU342,$D335,1+VLOOKUP($B328,$B$351:$E$368,4,FALSE))</f>
        <v>9.4000000000000004E-3</v>
      </c>
      <c r="G335" s="203">
        <f>INDEX($R328:$AU342,$D335,2+VLOOKUP($B328,$B$351:$E$368,4,FALSE))</f>
        <v>30.24</v>
      </c>
      <c r="H335" s="203">
        <f>INDEX($R328:$AU342,$D335,5+VLOOKUP($B328,$B$351:$E$368,4,FALSE))</f>
        <v>1.09E-2</v>
      </c>
      <c r="I335" s="203">
        <f>INDEX($R328:$AU342,$D335,6+VLOOKUP($B328,$B$351:$E$368,4,FALSE))</f>
        <v>34.44</v>
      </c>
      <c r="J335" s="203">
        <f>INDEX($R328:$AU342,$D335,9+VLOOKUP($B328,$B$351:$E$368,4,FALSE))</f>
        <v>1.12E-2</v>
      </c>
      <c r="K335" s="203">
        <f>INDEX($R328:$AU342,$D335,10+VLOOKUP($B328,$B$351:$E$368,4,FALSE))</f>
        <v>35.42</v>
      </c>
      <c r="L335" s="203">
        <f>INDEX($R328:$AU342,$D335,13+VLOOKUP($B328,$B$351:$E$368,4,FALSE))</f>
        <v>1.17E-2</v>
      </c>
      <c r="M335" s="203">
        <f>INDEX($R328:$AU342,$D335,14+VLOOKUP($B328,$B$351:$E$368,4,FALSE))</f>
        <v>40.82</v>
      </c>
      <c r="O335" s="215">
        <v>-5</v>
      </c>
      <c r="P335" s="211">
        <v>64.7</v>
      </c>
      <c r="Q335" s="212">
        <v>76.8</v>
      </c>
      <c r="R335" s="203">
        <f>ROUND((Q335-P335)/(Q327-P327),4)</f>
        <v>6.7000000000000002E-3</v>
      </c>
      <c r="S335" s="217">
        <f>ROUND(P335-P327*R335,2)</f>
        <v>28.52</v>
      </c>
      <c r="T335" s="211">
        <v>74.3</v>
      </c>
      <c r="U335" s="212">
        <v>88.3</v>
      </c>
      <c r="V335" s="203">
        <f>ROUND((U335-T335)/(U327-T327),4)</f>
        <v>7.7999999999999996E-3</v>
      </c>
      <c r="W335" s="217">
        <f>ROUND(T335-T327*V335,2)</f>
        <v>32.18</v>
      </c>
      <c r="X335" s="211">
        <v>75.7</v>
      </c>
      <c r="Y335" s="212">
        <v>89.9</v>
      </c>
      <c r="Z335" s="203">
        <f>ROUND((Y335-X335)/(Y327-X327),4)</f>
        <v>7.9000000000000008E-3</v>
      </c>
      <c r="AA335" s="217">
        <f>ROUND(X335-X327*Z335,2)</f>
        <v>33.04</v>
      </c>
      <c r="AB335" s="211">
        <v>80.2</v>
      </c>
      <c r="AC335" s="212">
        <v>95</v>
      </c>
      <c r="AD335" s="203">
        <f>ROUND((AC335-AB335)/(AC327-AB327),4)</f>
        <v>8.2000000000000007E-3</v>
      </c>
      <c r="AE335" s="217">
        <f>ROUND(AB335-AB327*AD335,2)</f>
        <v>35.92</v>
      </c>
      <c r="AF335" s="211">
        <v>87</v>
      </c>
      <c r="AG335" s="212">
        <v>105</v>
      </c>
      <c r="AH335" s="203">
        <f>ROUND((AG335-AF335)/(AG327-AF327),4)</f>
        <v>0.01</v>
      </c>
      <c r="AI335" s="217">
        <f>ROUND(AF335-AF327*AH335,2)</f>
        <v>33</v>
      </c>
      <c r="AJ335" s="211">
        <v>99.3</v>
      </c>
      <c r="AK335" s="212">
        <v>120</v>
      </c>
      <c r="AL335" s="203">
        <f>ROUND((AK335-AJ335)/(AK327-AJ327),4)</f>
        <v>1.15E-2</v>
      </c>
      <c r="AM335" s="217">
        <f>ROUND(AJ335-AJ327*AL335,2)</f>
        <v>37.200000000000003</v>
      </c>
      <c r="AN335" s="211">
        <v>102</v>
      </c>
      <c r="AO335" s="212">
        <v>123</v>
      </c>
      <c r="AP335" s="203">
        <f>ROUND((AO335-AN335)/(AO327-AN327),4)</f>
        <v>1.17E-2</v>
      </c>
      <c r="AQ335" s="217">
        <f>ROUND(AN335-AN327*AP335,2)</f>
        <v>38.82</v>
      </c>
      <c r="AR335" s="211">
        <v>110</v>
      </c>
      <c r="AS335" s="212">
        <v>132</v>
      </c>
      <c r="AT335" s="203">
        <f>ROUND((AS335-AR335)/(AS327-AR327),4)</f>
        <v>1.2200000000000001E-2</v>
      </c>
      <c r="AU335" s="217">
        <f>ROUND(AR335-AR327*AT335,2)</f>
        <v>44.12</v>
      </c>
    </row>
    <row r="336" spans="1:47">
      <c r="A336" t="s">
        <v>255</v>
      </c>
      <c r="B336" s="163" t="e">
        <f>ROUND(B335/(0.000335*B327),1)+B330</f>
        <v>#REF!</v>
      </c>
      <c r="D336" s="133">
        <v>10</v>
      </c>
      <c r="E336" s="133">
        <v>5</v>
      </c>
      <c r="F336" s="203">
        <f>INDEX($R328:$AU342,$D336,1+VLOOKUP($B328,$B$351:$E$368,4,FALSE))</f>
        <v>8.6999999999999994E-3</v>
      </c>
      <c r="G336" s="203">
        <f>INDEX($R328:$AU342,$D336,2+VLOOKUP($B328,$B$351:$E$368,4,FALSE))</f>
        <v>28.12</v>
      </c>
      <c r="H336" s="203">
        <f>INDEX($R328:$AU342,$D336,5+VLOOKUP($B328,$B$351:$E$368,4,FALSE))</f>
        <v>1.03E-2</v>
      </c>
      <c r="I336" s="203">
        <f>INDEX($R328:$AU342,$D336,6+VLOOKUP($B328,$B$351:$E$368,4,FALSE))</f>
        <v>31.78</v>
      </c>
      <c r="J336" s="203">
        <f>INDEX($R328:$AU342,$D336,9+VLOOKUP($B328,$B$351:$E$368,4,FALSE))</f>
        <v>1.06E-2</v>
      </c>
      <c r="K336" s="203">
        <f>INDEX($R328:$AU342,$D336,10+VLOOKUP($B328,$B$351:$E$368,4,FALSE))</f>
        <v>32.76</v>
      </c>
      <c r="L336" s="203">
        <f>INDEX($R328:$AU342,$D336,13+VLOOKUP($B328,$B$351:$E$368,4,FALSE))</f>
        <v>1.0800000000000001E-2</v>
      </c>
      <c r="M336" s="203">
        <f>INDEX($R328:$AU342,$D336,14+VLOOKUP($B328,$B$351:$E$368,4,FALSE))</f>
        <v>39.18</v>
      </c>
      <c r="O336" s="215">
        <v>0</v>
      </c>
      <c r="P336" s="211">
        <v>60.1</v>
      </c>
      <c r="Q336" s="212">
        <v>71.3</v>
      </c>
      <c r="R336" s="203">
        <f>ROUND((Q336-P336)/(Q327-P327),4)</f>
        <v>6.1999999999999998E-3</v>
      </c>
      <c r="S336" s="217">
        <f>ROUND(P336-P327*R336,2)</f>
        <v>26.62</v>
      </c>
      <c r="T336" s="211">
        <v>69.599999999999994</v>
      </c>
      <c r="U336" s="212">
        <v>82.8</v>
      </c>
      <c r="V336" s="203">
        <f>ROUND((U336-T336)/(U327-T327),4)</f>
        <v>7.3000000000000001E-3</v>
      </c>
      <c r="W336" s="217">
        <f>ROUND(T336-T327*V336,2)</f>
        <v>30.18</v>
      </c>
      <c r="X336" s="211">
        <v>71.099999999999994</v>
      </c>
      <c r="Y336" s="212">
        <v>84.5</v>
      </c>
      <c r="Z336" s="203">
        <f>ROUND((Y336-X336)/(Y327-X327),4)</f>
        <v>7.4000000000000003E-3</v>
      </c>
      <c r="AA336" s="217">
        <f>ROUND(X336-X327*Z336,2)</f>
        <v>31.14</v>
      </c>
      <c r="AB336" s="211">
        <v>75.5</v>
      </c>
      <c r="AC336" s="212">
        <v>89.5</v>
      </c>
      <c r="AD336" s="203">
        <f>ROUND((AC336-AB336)/(AC327-AB327),4)</f>
        <v>7.7999999999999996E-3</v>
      </c>
      <c r="AE336" s="217">
        <f>ROUND(AB336-AB327*AD336,2)</f>
        <v>33.380000000000003</v>
      </c>
      <c r="AF336" s="211">
        <v>81</v>
      </c>
      <c r="AG336" s="212">
        <v>97.9</v>
      </c>
      <c r="AH336" s="203">
        <f>ROUND((AG336-AF336)/(AG327-AF327),4)</f>
        <v>9.4000000000000004E-3</v>
      </c>
      <c r="AI336" s="217">
        <f>ROUND(AF336-AF327*AH336,2)</f>
        <v>30.24</v>
      </c>
      <c r="AJ336" s="211">
        <v>93.3</v>
      </c>
      <c r="AK336" s="212">
        <v>113</v>
      </c>
      <c r="AL336" s="203">
        <f>ROUND((AK336-AJ336)/(AK327-AJ327),4)</f>
        <v>1.09E-2</v>
      </c>
      <c r="AM336" s="217">
        <f>ROUND(AJ336-AJ327*AL336,2)</f>
        <v>34.44</v>
      </c>
      <c r="AN336" s="211">
        <v>95.9</v>
      </c>
      <c r="AO336" s="212">
        <v>116</v>
      </c>
      <c r="AP336" s="203">
        <f>ROUND((AO336-AN336)/(AO327-AN327),4)</f>
        <v>1.12E-2</v>
      </c>
      <c r="AQ336" s="217">
        <f>ROUND(AN336-AN327*AP336,2)</f>
        <v>35.42</v>
      </c>
      <c r="AR336" s="211">
        <v>104</v>
      </c>
      <c r="AS336" s="212">
        <v>125</v>
      </c>
      <c r="AT336" s="203">
        <f>ROUND((AS336-AR336)/(AS327-AR327),4)</f>
        <v>1.17E-2</v>
      </c>
      <c r="AU336" s="217">
        <f>ROUND(AR336-AR327*AT336,2)</f>
        <v>40.82</v>
      </c>
    </row>
    <row r="337" spans="1:47">
      <c r="D337" s="133">
        <v>11</v>
      </c>
      <c r="E337" s="133">
        <v>10</v>
      </c>
      <c r="F337" s="203">
        <f>INDEX($R328:$AU342,$D337,1+VLOOKUP($B328,$B$351:$E$368,4,FALSE))</f>
        <v>7.9000000000000008E-3</v>
      </c>
      <c r="G337" s="203">
        <f>INDEX($R328:$AU342,$D337,2+VLOOKUP($B328,$B$351:$E$368,4,FALSE))</f>
        <v>26.44</v>
      </c>
      <c r="H337" s="203">
        <f>INDEX($R328:$AU342,$D337,5+VLOOKUP($B328,$B$351:$E$368,4,FALSE))</f>
        <v>9.4000000000000004E-3</v>
      </c>
      <c r="I337" s="203">
        <f>INDEX($R328:$AU342,$D337,6+VLOOKUP($B328,$B$351:$E$368,4,FALSE))</f>
        <v>30.64</v>
      </c>
      <c r="J337" s="203">
        <f>INDEX($R328:$AU342,$D337,9+VLOOKUP($B328,$B$351:$E$368,4,FALSE))</f>
        <v>9.4000000000000004E-3</v>
      </c>
      <c r="K337" s="203">
        <f>INDEX($R328:$AU342,$D337,10+VLOOKUP($B328,$B$351:$E$368,4,FALSE))</f>
        <v>33.24</v>
      </c>
      <c r="L337" s="203">
        <f>INDEX($R328:$AU342,$D337,13+VLOOKUP($B328,$B$351:$E$368,4,FALSE))</f>
        <v>1.03E-2</v>
      </c>
      <c r="M337" s="203">
        <f>INDEX($R328:$AU342,$D337,14+VLOOKUP($B328,$B$351:$E$368,4,FALSE))</f>
        <v>35.880000000000003</v>
      </c>
      <c r="O337" s="215">
        <v>5</v>
      </c>
      <c r="P337" s="211">
        <v>55.4</v>
      </c>
      <c r="Q337" s="212">
        <v>65.8</v>
      </c>
      <c r="R337" s="203">
        <f>ROUND((Q337-P337)/(Q327-P327),4)</f>
        <v>5.7999999999999996E-3</v>
      </c>
      <c r="S337" s="217">
        <f>ROUND(P337-P327*R337,2)</f>
        <v>24.08</v>
      </c>
      <c r="T337" s="211">
        <v>65.099999999999994</v>
      </c>
      <c r="U337" s="212">
        <v>77.3</v>
      </c>
      <c r="V337" s="203">
        <f>ROUND((U337-T337)/(U327-T327),4)</f>
        <v>6.7999999999999996E-3</v>
      </c>
      <c r="W337" s="217">
        <f>ROUND(T337-T327*V337,2)</f>
        <v>28.38</v>
      </c>
      <c r="X337" s="211">
        <v>66.599999999999994</v>
      </c>
      <c r="Y337" s="212">
        <v>79</v>
      </c>
      <c r="Z337" s="203">
        <f>ROUND((Y337-X337)/(Y327-X327),4)</f>
        <v>6.8999999999999999E-3</v>
      </c>
      <c r="AA337" s="217">
        <f>ROUND(X337-X327*Z337,2)</f>
        <v>29.34</v>
      </c>
      <c r="AB337" s="211">
        <v>71</v>
      </c>
      <c r="AC337" s="212">
        <v>84</v>
      </c>
      <c r="AD337" s="203">
        <f>ROUND((AC337-AB337)/(AC327-AB327),4)</f>
        <v>7.1999999999999998E-3</v>
      </c>
      <c r="AE337" s="217">
        <f>ROUND(AB337-AB327*AD337,2)</f>
        <v>32.119999999999997</v>
      </c>
      <c r="AF337" s="211">
        <v>75.099999999999994</v>
      </c>
      <c r="AG337" s="212">
        <v>90.7</v>
      </c>
      <c r="AH337" s="203">
        <f>ROUND((AG337-AF337)/(AG327-AF327),4)</f>
        <v>8.6999999999999994E-3</v>
      </c>
      <c r="AI337" s="217">
        <f>ROUND(AF337-AF327*AH337,2)</f>
        <v>28.12</v>
      </c>
      <c r="AJ337" s="211">
        <v>87.4</v>
      </c>
      <c r="AK337" s="212">
        <v>106</v>
      </c>
      <c r="AL337" s="203">
        <f>ROUND((AK337-AJ337)/(AK327-AJ327),4)</f>
        <v>1.03E-2</v>
      </c>
      <c r="AM337" s="217">
        <f>ROUND(AJ337-AJ327*AL337,2)</f>
        <v>31.78</v>
      </c>
      <c r="AN337" s="211">
        <v>90</v>
      </c>
      <c r="AO337" s="212">
        <v>109</v>
      </c>
      <c r="AP337" s="203">
        <f>ROUND((AO337-AN337)/(AO327-AN327),4)</f>
        <v>1.06E-2</v>
      </c>
      <c r="AQ337" s="217">
        <f>ROUND(AN337-AN327*AP337,2)</f>
        <v>32.76</v>
      </c>
      <c r="AR337" s="211">
        <v>97.5</v>
      </c>
      <c r="AS337" s="212">
        <v>117</v>
      </c>
      <c r="AT337" s="203">
        <f>ROUND((AS337-AR337)/(AS327-AR327),4)</f>
        <v>1.0800000000000001E-2</v>
      </c>
      <c r="AU337" s="217">
        <f>ROUND(AR337-AR327*AT337,2)</f>
        <v>39.18</v>
      </c>
    </row>
    <row r="338" spans="1:47">
      <c r="A338" t="s">
        <v>256</v>
      </c>
      <c r="B338" s="163" t="e">
        <f>ROUND(B335/(4183*VLOOKUP(B329,B$345:E$348,4,FALSE))*3600,2)</f>
        <v>#REF!</v>
      </c>
      <c r="D338" s="133">
        <v>12</v>
      </c>
      <c r="E338" s="133">
        <v>15</v>
      </c>
      <c r="F338" s="203">
        <f>INDEX($R328:$AU342,$D338,1+VLOOKUP($B328,$B$351:$E$368,4,FALSE))</f>
        <v>7.1999999999999998E-3</v>
      </c>
      <c r="G338" s="203">
        <f>INDEX($R328:$AU342,$D338,2+VLOOKUP($B328,$B$351:$E$368,4,FALSE))</f>
        <v>24.22</v>
      </c>
      <c r="H338" s="203">
        <f>INDEX($R328:$AU342,$D338,5+VLOOKUP($B328,$B$351:$E$368,4,FALSE))</f>
        <v>8.6999999999999994E-3</v>
      </c>
      <c r="I338" s="203">
        <f>INDEX($R328:$AU342,$D338,6+VLOOKUP($B328,$B$351:$E$368,4,FALSE))</f>
        <v>28.42</v>
      </c>
      <c r="J338" s="203">
        <f>INDEX($R328:$AU342,$D338,9+VLOOKUP($B328,$B$351:$E$368,4,FALSE))</f>
        <v>8.8999999999999999E-3</v>
      </c>
      <c r="K338" s="203">
        <f>INDEX($R328:$AU342,$D338,10+VLOOKUP($B328,$B$351:$E$368,4,FALSE))</f>
        <v>29.94</v>
      </c>
      <c r="L338" s="203">
        <f>INDEX($R328:$AU342,$D338,13+VLOOKUP($B328,$B$351:$E$368,4,FALSE))</f>
        <v>9.7000000000000003E-3</v>
      </c>
      <c r="M338" s="203">
        <f>INDEX($R328:$AU342,$D338,14+VLOOKUP($B328,$B$351:$E$368,4,FALSE))</f>
        <v>33.119999999999997</v>
      </c>
      <c r="O338" s="215">
        <v>10</v>
      </c>
      <c r="P338" s="211">
        <v>50.9</v>
      </c>
      <c r="Q338" s="212">
        <v>60.3</v>
      </c>
      <c r="R338" s="203">
        <f>ROUND((Q338-P338)/(Q327-P327),4)</f>
        <v>5.1999999999999998E-3</v>
      </c>
      <c r="S338" s="217">
        <f>ROUND(P338-P327*R338,2)</f>
        <v>22.82</v>
      </c>
      <c r="T338" s="211">
        <v>60.5</v>
      </c>
      <c r="U338" s="212">
        <v>71.8</v>
      </c>
      <c r="V338" s="203">
        <f>ROUND((U338-T338)/(U327-T327),4)</f>
        <v>6.3E-3</v>
      </c>
      <c r="W338" s="217">
        <f>ROUND(T338-T327*V338,2)</f>
        <v>26.48</v>
      </c>
      <c r="X338" s="211">
        <v>61.9</v>
      </c>
      <c r="Y338" s="212">
        <v>73.400000000000006</v>
      </c>
      <c r="Z338" s="203">
        <f>ROUND((Y338-X338)/(Y327-X327),4)</f>
        <v>6.4000000000000003E-3</v>
      </c>
      <c r="AA338" s="217">
        <f>ROUND(X338-X327*Z338,2)</f>
        <v>27.34</v>
      </c>
      <c r="AB338" s="211">
        <v>66.400000000000006</v>
      </c>
      <c r="AC338" s="212">
        <v>78.400000000000006</v>
      </c>
      <c r="AD338" s="203">
        <f>ROUND((AC338-AB338)/(AC327-AB327),4)</f>
        <v>6.7000000000000002E-3</v>
      </c>
      <c r="AE338" s="217">
        <f>ROUND(AB338-AB327*AD338,2)</f>
        <v>30.22</v>
      </c>
      <c r="AF338" s="211">
        <v>69.099999999999994</v>
      </c>
      <c r="AG338" s="212">
        <v>83.4</v>
      </c>
      <c r="AH338" s="203">
        <f>ROUND((AG338-AF338)/(AG327-AF327),4)</f>
        <v>7.9000000000000008E-3</v>
      </c>
      <c r="AI338" s="217">
        <f>ROUND(AF338-AF327*AH338,2)</f>
        <v>26.44</v>
      </c>
      <c r="AJ338" s="211">
        <v>81.400000000000006</v>
      </c>
      <c r="AK338" s="212">
        <v>98.4</v>
      </c>
      <c r="AL338" s="203">
        <f>ROUND((AK338-AJ338)/(AK327-AJ327),4)</f>
        <v>9.4000000000000004E-3</v>
      </c>
      <c r="AM338" s="217">
        <f>ROUND(AJ338-AJ327*AL338,2)</f>
        <v>30.64</v>
      </c>
      <c r="AN338" s="211">
        <v>84</v>
      </c>
      <c r="AO338" s="212">
        <v>101</v>
      </c>
      <c r="AP338" s="203">
        <f>ROUND((AO338-AN338)/(AO327-AN327),4)</f>
        <v>9.4000000000000004E-3</v>
      </c>
      <c r="AQ338" s="217">
        <f>ROUND(AN338-AN327*AP338,2)</f>
        <v>33.24</v>
      </c>
      <c r="AR338" s="211">
        <v>91.5</v>
      </c>
      <c r="AS338" s="212">
        <v>110</v>
      </c>
      <c r="AT338" s="203">
        <f>ROUND((AS338-AR338)/(AS327-AR327),4)</f>
        <v>1.03E-2</v>
      </c>
      <c r="AU338" s="217">
        <f>ROUND(AR338-AR327*AT338,2)</f>
        <v>35.880000000000003</v>
      </c>
    </row>
    <row r="339" spans="1:47">
      <c r="A339" t="s">
        <v>257</v>
      </c>
      <c r="B339" s="163" t="e">
        <f>ROUND(100*POWER(B338/VLOOKUP(B328,B$351:C$368,2,FALSE),2),1)</f>
        <v>#REF!</v>
      </c>
      <c r="D339" s="133">
        <v>13</v>
      </c>
      <c r="E339" s="133">
        <v>20</v>
      </c>
      <c r="F339" s="203">
        <f>INDEX($R328:$AU342,$D339,1+VLOOKUP($B328,$B$351:$E$368,4,FALSE))</f>
        <v>7.0000000000000001E-3</v>
      </c>
      <c r="G339" s="203">
        <f>INDEX($R328:$AU342,$D339,2+VLOOKUP($B328,$B$351:$E$368,4,FALSE))</f>
        <v>19.29</v>
      </c>
      <c r="H339" s="203">
        <f>INDEX($R328:$AU342,$D339,5+VLOOKUP($B328,$B$351:$E$368,4,FALSE))</f>
        <v>8.8999999999999999E-3</v>
      </c>
      <c r="I339" s="203">
        <f>INDEX($R328:$AU342,$D339,6+VLOOKUP($B328,$B$351:$E$368,4,FALSE))</f>
        <v>21.77</v>
      </c>
      <c r="J339" s="203">
        <f>INDEX($R328:$AU342,$D339,9+VLOOKUP($B328,$B$351:$E$368,4,FALSE))</f>
        <v>8.3000000000000001E-3</v>
      </c>
      <c r="K339" s="203">
        <f>INDEX($R328:$AU342,$D339,10+VLOOKUP($B328,$B$351:$E$368,4,FALSE))</f>
        <v>27.16</v>
      </c>
      <c r="L339" s="203">
        <f>INDEX($R328:$AU342,$D339,13+VLOOKUP($B328,$B$351:$E$368,4,FALSE))</f>
        <v>8.8000000000000005E-3</v>
      </c>
      <c r="M339" s="203">
        <f>INDEX($R328:$AU342,$D339,14+VLOOKUP($B328,$B$351:$E$368,4,FALSE))</f>
        <v>31.98</v>
      </c>
      <c r="O339" s="215">
        <v>15</v>
      </c>
      <c r="P339" s="211">
        <v>46.3</v>
      </c>
      <c r="Q339" s="212">
        <v>54.9</v>
      </c>
      <c r="R339" s="203">
        <f>ROUND((Q339-P339)/(Q327-P327),4)</f>
        <v>4.7999999999999996E-3</v>
      </c>
      <c r="S339" s="217">
        <f>ROUND(P339-P327*R339,2)</f>
        <v>20.38</v>
      </c>
      <c r="T339" s="211">
        <v>55.9</v>
      </c>
      <c r="U339" s="212">
        <v>66.400000000000006</v>
      </c>
      <c r="V339" s="203">
        <f>ROUND((U339-T339)/(U327-T327),4)</f>
        <v>5.7999999999999996E-3</v>
      </c>
      <c r="W339" s="217">
        <f>ROUND(T339-T327*V339,2)</f>
        <v>24.58</v>
      </c>
      <c r="X339" s="211">
        <v>57.4</v>
      </c>
      <c r="Y339" s="212">
        <v>68</v>
      </c>
      <c r="Z339" s="203">
        <f>ROUND((Y339-X339)/(Y327-X327),4)</f>
        <v>5.8999999999999999E-3</v>
      </c>
      <c r="AA339" s="217">
        <f>ROUND(X339-X327*Z339,2)</f>
        <v>25.54</v>
      </c>
      <c r="AB339" s="211">
        <v>61.7</v>
      </c>
      <c r="AC339" s="212">
        <v>72.900000000000006</v>
      </c>
      <c r="AD339" s="203">
        <f>ROUND((AC339-AB339)/(AC327-AB327),4)</f>
        <v>6.1999999999999998E-3</v>
      </c>
      <c r="AE339" s="217">
        <f>ROUND(AB339-AB327*AD339,2)</f>
        <v>28.22</v>
      </c>
      <c r="AF339" s="211">
        <v>63.1</v>
      </c>
      <c r="AG339" s="212">
        <v>76.099999999999994</v>
      </c>
      <c r="AH339" s="203">
        <f>ROUND((AG339-AF339)/(AG327-AF327),4)</f>
        <v>7.1999999999999998E-3</v>
      </c>
      <c r="AI339" s="217">
        <f>ROUND(AF339-AF327*AH339,2)</f>
        <v>24.22</v>
      </c>
      <c r="AJ339" s="211">
        <v>75.400000000000006</v>
      </c>
      <c r="AK339" s="212">
        <v>91.1</v>
      </c>
      <c r="AL339" s="203">
        <f>ROUND((AK339-AJ339)/(AK327-AJ327),4)</f>
        <v>8.6999999999999994E-3</v>
      </c>
      <c r="AM339" s="217">
        <f>ROUND(AJ339-AJ327*AL339,2)</f>
        <v>28.42</v>
      </c>
      <c r="AN339" s="211">
        <v>78</v>
      </c>
      <c r="AO339" s="212">
        <v>94</v>
      </c>
      <c r="AP339" s="203">
        <f>ROUND((AO339-AN339)/(AO327-AN327),4)</f>
        <v>8.8999999999999999E-3</v>
      </c>
      <c r="AQ339" s="217">
        <f>ROUND(AN339-AN327*AP339,2)</f>
        <v>29.94</v>
      </c>
      <c r="AR339" s="211">
        <v>85.5</v>
      </c>
      <c r="AS339" s="212">
        <v>103</v>
      </c>
      <c r="AT339" s="203">
        <f>ROUND((AS339-AR339)/(AS327-AR327),4)</f>
        <v>9.7000000000000003E-3</v>
      </c>
      <c r="AU339" s="217">
        <f>ROUND(AR339-AR327*AT339,2)</f>
        <v>33.119999999999997</v>
      </c>
    </row>
    <row r="340" spans="1:47">
      <c r="D340" s="133">
        <v>14</v>
      </c>
      <c r="E340" s="133">
        <v>25</v>
      </c>
      <c r="F340" s="203">
        <f>INDEX($R328:$AU342,$D340,1+VLOOKUP($B328,$B$351:$E$368,4,FALSE))</f>
        <v>6.4000000000000003E-3</v>
      </c>
      <c r="G340" s="203">
        <f>INDEX($R328:$AU342,$D340,2+VLOOKUP($B328,$B$351:$E$368,4,FALSE))</f>
        <v>16.55</v>
      </c>
      <c r="H340" s="203">
        <f>INDEX($R328:$AU342,$D340,5+VLOOKUP($B328,$B$351:$E$368,4,FALSE))</f>
        <v>8.3999999999999995E-3</v>
      </c>
      <c r="I340" s="203">
        <f>INDEX($R328:$AU342,$D340,6+VLOOKUP($B328,$B$351:$E$368,4,FALSE))</f>
        <v>18.63</v>
      </c>
      <c r="J340" s="203">
        <f>INDEX($R328:$AU342,$D340,9+VLOOKUP($B328,$B$351:$E$368,4,FALSE))</f>
        <v>7.6E-3</v>
      </c>
      <c r="K340" s="203">
        <f>INDEX($R328:$AU342,$D340,10+VLOOKUP($B328,$B$351:$E$368,4,FALSE))</f>
        <v>24.94</v>
      </c>
      <c r="L340" s="203">
        <f>INDEX($R328:$AU342,$D340,13+VLOOKUP($B328,$B$351:$E$368,4,FALSE))</f>
        <v>8.0999999999999996E-3</v>
      </c>
      <c r="M340" s="203">
        <f>INDEX($R328:$AU342,$D340,14+VLOOKUP($B328,$B$351:$E$368,4,FALSE))</f>
        <v>29.7</v>
      </c>
      <c r="O340" s="215">
        <v>20</v>
      </c>
      <c r="P340" s="211">
        <v>41.706666666666599</v>
      </c>
      <c r="Q340" s="212">
        <v>49.42</v>
      </c>
      <c r="R340" s="203">
        <f>ROUND((Q340-P340)/(Q327-P327),4)</f>
        <v>4.3E-3</v>
      </c>
      <c r="S340" s="217">
        <f>ROUND(P340-P327*R340,2)</f>
        <v>18.489999999999998</v>
      </c>
      <c r="T340" s="211">
        <v>51.32</v>
      </c>
      <c r="U340" s="212">
        <v>60.826666666666597</v>
      </c>
      <c r="V340" s="203">
        <f>ROUND((U340-T340)/(U327-T327),4)</f>
        <v>5.3E-3</v>
      </c>
      <c r="W340" s="217">
        <f>ROUND(T340-T327*V340,2)</f>
        <v>22.7</v>
      </c>
      <c r="X340" s="211">
        <v>52.766666666666701</v>
      </c>
      <c r="Y340" s="212">
        <v>62.58</v>
      </c>
      <c r="Z340" s="203">
        <f>ROUND((Y340-X340)/(Y327-X327),4)</f>
        <v>5.4999999999999997E-3</v>
      </c>
      <c r="AA340" s="217">
        <f>ROUND(X340-X327*Z340,2)</f>
        <v>23.07</v>
      </c>
      <c r="AB340" s="211">
        <v>57.1666666666667</v>
      </c>
      <c r="AC340" s="212">
        <v>67.326666666666597</v>
      </c>
      <c r="AD340" s="203">
        <f>ROUND((AC340-AB340)/(AC327-AB327),4)</f>
        <v>5.5999999999999999E-3</v>
      </c>
      <c r="AE340" s="217">
        <f>ROUND(AB340-AB327*AD340,2)</f>
        <v>26.93</v>
      </c>
      <c r="AF340" s="211">
        <v>57.093333333333298</v>
      </c>
      <c r="AG340" s="212">
        <v>69.673333333333304</v>
      </c>
      <c r="AH340" s="203">
        <f>ROUND((AG340-AF340)/(AG327-AF327),4)</f>
        <v>7.0000000000000001E-3</v>
      </c>
      <c r="AI340" s="217">
        <f>ROUND(AF340-AF327*AH340,2)</f>
        <v>19.29</v>
      </c>
      <c r="AJ340" s="211">
        <v>69.8333333333334</v>
      </c>
      <c r="AK340" s="212">
        <v>85.773333333333298</v>
      </c>
      <c r="AL340" s="203">
        <f>ROUND((AK340-AJ340)/(AK327-AJ327),4)</f>
        <v>8.8999999999999999E-3</v>
      </c>
      <c r="AM340" s="217">
        <f>ROUND(AJ340-AJ327*AL340,2)</f>
        <v>21.77</v>
      </c>
      <c r="AN340" s="211">
        <v>71.98</v>
      </c>
      <c r="AO340" s="212">
        <v>86.866666666666703</v>
      </c>
      <c r="AP340" s="203">
        <f>ROUND((AO340-AN340)/(AO327-AN327),4)</f>
        <v>8.3000000000000001E-3</v>
      </c>
      <c r="AQ340" s="217">
        <f>ROUND(AN340-AN327*AP340,2)</f>
        <v>27.16</v>
      </c>
      <c r="AR340" s="211">
        <v>79.5</v>
      </c>
      <c r="AS340" s="212">
        <v>95.4</v>
      </c>
      <c r="AT340" s="203">
        <f>ROUND((AS340-AR340)/(AS327-AR327),4)</f>
        <v>8.8000000000000005E-3</v>
      </c>
      <c r="AU340" s="217">
        <f>ROUND(AR340-AR327*AT340,2)</f>
        <v>31.98</v>
      </c>
    </row>
    <row r="341" spans="1:47">
      <c r="D341" s="133">
        <v>15</v>
      </c>
      <c r="E341" s="133">
        <v>30</v>
      </c>
      <c r="F341" s="203">
        <f>INDEX($R328:$AU342,$D341,1+VLOOKUP($B328,$B$351:$E$368,4,FALSE))</f>
        <v>5.8999999999999999E-3</v>
      </c>
      <c r="G341" s="203">
        <f>INDEX($R328:$AU342,$D341,2+VLOOKUP($B328,$B$351:$E$368,4,FALSE))</f>
        <v>13.26</v>
      </c>
      <c r="H341" s="203">
        <f>INDEX($R328:$AU342,$D341,5+VLOOKUP($B328,$B$351:$E$368,4,FALSE))</f>
        <v>8.0000000000000002E-3</v>
      </c>
      <c r="I341" s="203">
        <f>INDEX($R328:$AU342,$D341,6+VLOOKUP($B328,$B$351:$E$368,4,FALSE))</f>
        <v>14.94</v>
      </c>
      <c r="J341" s="203">
        <f>INDEX($R328:$AU342,$D341,9+VLOOKUP($B328,$B$351:$E$368,4,FALSE))</f>
        <v>6.8999999999999999E-3</v>
      </c>
      <c r="K341" s="203">
        <f>INDEX($R328:$AU342,$D341,10+VLOOKUP($B328,$B$351:$E$368,4,FALSE))</f>
        <v>22.72</v>
      </c>
      <c r="L341" s="203">
        <f>INDEX($R328:$AU342,$D341,13+VLOOKUP($B328,$B$351:$E$368,4,FALSE))</f>
        <v>7.4000000000000003E-3</v>
      </c>
      <c r="M341" s="203">
        <f>INDEX($R328:$AU342,$D341,14+VLOOKUP($B328,$B$351:$E$368,4,FALSE))</f>
        <v>27.41</v>
      </c>
      <c r="O341" s="215">
        <v>25</v>
      </c>
      <c r="P341" s="211">
        <v>37.118787878787799</v>
      </c>
      <c r="Q341" s="212">
        <v>43.9509090909091</v>
      </c>
      <c r="R341" s="203">
        <f>ROUND((Q341-P341)/(Q327-P327),4)</f>
        <v>3.8E-3</v>
      </c>
      <c r="S341" s="217">
        <f>ROUND(P341-P327*R341,2)</f>
        <v>16.600000000000001</v>
      </c>
      <c r="T341" s="211">
        <v>46.732727272727303</v>
      </c>
      <c r="U341" s="212">
        <v>55.327878787878703</v>
      </c>
      <c r="V341" s="203">
        <f>ROUND((U341-T341)/(U327-T327),4)</f>
        <v>4.7999999999999996E-3</v>
      </c>
      <c r="W341" s="217">
        <f>ROUND(T341-T327*V341,2)</f>
        <v>20.81</v>
      </c>
      <c r="X341" s="211">
        <v>48.175151515151498</v>
      </c>
      <c r="Y341" s="212">
        <v>57.118181818181803</v>
      </c>
      <c r="Z341" s="203">
        <f>ROUND((Y341-X341)/(Y327-X327),4)</f>
        <v>5.0000000000000001E-3</v>
      </c>
      <c r="AA341" s="217">
        <f>ROUND(X341-X327*Z341,2)</f>
        <v>21.18</v>
      </c>
      <c r="AB341" s="211">
        <v>52.562424242424299</v>
      </c>
      <c r="AC341" s="212">
        <v>61.771515151515104</v>
      </c>
      <c r="AD341" s="203">
        <f>ROUND((AC341-AB341)/(AC327-AB327),4)</f>
        <v>5.1000000000000004E-3</v>
      </c>
      <c r="AE341" s="217">
        <f>ROUND(AB341-AB327*AD341,2)</f>
        <v>25.02</v>
      </c>
      <c r="AF341" s="211">
        <v>51.108484848484899</v>
      </c>
      <c r="AG341" s="212">
        <v>62.6666666666666</v>
      </c>
      <c r="AH341" s="203">
        <f>ROUND((AG341-AF341)/(AG327-AF327),4)</f>
        <v>6.4000000000000003E-3</v>
      </c>
      <c r="AI341" s="217">
        <f>ROUND(AF341-AF327*AH341,2)</f>
        <v>16.55</v>
      </c>
      <c r="AJ341" s="211">
        <v>63.988484848484902</v>
      </c>
      <c r="AK341" s="212">
        <v>79.177575757575795</v>
      </c>
      <c r="AL341" s="203">
        <f>ROUND((AK341-AJ341)/(AK327-AJ327),4)</f>
        <v>8.3999999999999995E-3</v>
      </c>
      <c r="AM341" s="217">
        <f>ROUND(AJ341-AJ327*AL341,2)</f>
        <v>18.63</v>
      </c>
      <c r="AN341" s="211">
        <v>65.978181818181795</v>
      </c>
      <c r="AO341" s="212">
        <v>79.624242424242397</v>
      </c>
      <c r="AP341" s="203">
        <f>ROUND((AO341-AN341)/(AO327-AN327),4)</f>
        <v>7.6E-3</v>
      </c>
      <c r="AQ341" s="217">
        <f>ROUND(AN341-AN327*AP341,2)</f>
        <v>24.94</v>
      </c>
      <c r="AR341" s="211">
        <v>73.436363636363595</v>
      </c>
      <c r="AS341" s="212">
        <v>88.072727272727306</v>
      </c>
      <c r="AT341" s="203">
        <f>ROUND((AS341-AR341)/(AS327-AR327),4)</f>
        <v>8.0999999999999996E-3</v>
      </c>
      <c r="AU341" s="217">
        <f>ROUND(AR341-AR327*AT341,2)</f>
        <v>29.7</v>
      </c>
    </row>
    <row r="342" spans="1:47" ht="15" thickBot="1">
      <c r="O342" s="216">
        <v>30</v>
      </c>
      <c r="P342" s="226">
        <v>32.530909090909098</v>
      </c>
      <c r="Q342" s="227">
        <v>38.481818181818198</v>
      </c>
      <c r="R342" s="228">
        <f>ROUND((Q342-P342)/(Q327-P327),4)</f>
        <v>3.3E-3</v>
      </c>
      <c r="S342" s="229">
        <f>ROUND(P342-P327*R342,2)</f>
        <v>14.71</v>
      </c>
      <c r="T342" s="226">
        <v>42.145454545454598</v>
      </c>
      <c r="U342" s="227">
        <v>49.829090909090901</v>
      </c>
      <c r="V342" s="228">
        <f>ROUND((U342-T342)/(U327-T327),4)</f>
        <v>4.3E-3</v>
      </c>
      <c r="W342" s="229">
        <f>ROUND(T342-T327*V342,2)</f>
        <v>18.93</v>
      </c>
      <c r="X342" s="226">
        <v>43.583636363636401</v>
      </c>
      <c r="Y342" s="227">
        <v>51.656363636363601</v>
      </c>
      <c r="Z342" s="228">
        <f>ROUND((Y342-X342)/(Y327-X327),4)</f>
        <v>4.4999999999999997E-3</v>
      </c>
      <c r="AA342" s="229">
        <f>ROUND(X342-X327*Z342,2)</f>
        <v>19.28</v>
      </c>
      <c r="AB342" s="226">
        <v>47.958181818181799</v>
      </c>
      <c r="AC342" s="227">
        <v>56.216363636363603</v>
      </c>
      <c r="AD342" s="228">
        <f>ROUND((AC342-AB342)/(AC327-AB327),4)</f>
        <v>4.5999999999999999E-3</v>
      </c>
      <c r="AE342" s="229">
        <f>ROUND(AB342-AB327*AD342,2)</f>
        <v>23.12</v>
      </c>
      <c r="AF342" s="226">
        <v>45.1236363636364</v>
      </c>
      <c r="AG342" s="227">
        <v>55.66</v>
      </c>
      <c r="AH342" s="228">
        <f>ROUND((AG342-AF342)/(AG327-AF327),4)</f>
        <v>5.8999999999999999E-3</v>
      </c>
      <c r="AI342" s="229">
        <f>ROUND(AF342-AF327*AH342,2)</f>
        <v>13.26</v>
      </c>
      <c r="AJ342" s="226">
        <v>58.143636363636404</v>
      </c>
      <c r="AK342" s="227">
        <v>72.581818181818207</v>
      </c>
      <c r="AL342" s="228">
        <f>ROUND((AK342-AJ342)/(AK327-AJ327),4)</f>
        <v>8.0000000000000002E-3</v>
      </c>
      <c r="AM342" s="229">
        <f>ROUND(AJ342-AJ327*AL342,2)</f>
        <v>14.94</v>
      </c>
      <c r="AN342" s="226">
        <v>59.976363636363601</v>
      </c>
      <c r="AO342" s="227">
        <v>72.381818181818204</v>
      </c>
      <c r="AP342" s="228">
        <f>ROUND((AO342-AN342)/(AO327-AN327),4)</f>
        <v>6.8999999999999999E-3</v>
      </c>
      <c r="AQ342" s="229">
        <f>ROUND(AN342-AN327*AP342,2)</f>
        <v>22.72</v>
      </c>
      <c r="AR342" s="226">
        <v>67.372727272727204</v>
      </c>
      <c r="AS342" s="227">
        <v>80.745454545454606</v>
      </c>
      <c r="AT342" s="228">
        <f>ROUND((AS342-AR342)/(AS327-AR327),4)</f>
        <v>7.4000000000000003E-3</v>
      </c>
      <c r="AU342" s="229">
        <f>ROUND(AR342-AR327*AT342,2)</f>
        <v>27.41</v>
      </c>
    </row>
    <row r="343" spans="1:47">
      <c r="O343" s="224"/>
      <c r="P343" s="225"/>
      <c r="Q343" s="225"/>
      <c r="R343" s="225"/>
      <c r="S343" s="225"/>
      <c r="T343" s="225"/>
      <c r="U343" s="225"/>
      <c r="V343" s="225"/>
      <c r="W343" s="225"/>
      <c r="X343" s="225"/>
      <c r="Y343" s="225"/>
      <c r="Z343" s="225"/>
      <c r="AA343" s="225"/>
      <c r="AB343" s="225"/>
      <c r="AC343" s="225"/>
      <c r="AD343" s="225"/>
      <c r="AE343" s="225"/>
      <c r="AF343" s="225"/>
      <c r="AG343" s="225"/>
      <c r="AH343" s="225"/>
      <c r="AI343" s="225"/>
      <c r="AJ343" s="225"/>
      <c r="AK343" s="225"/>
      <c r="AL343" s="225"/>
      <c r="AM343" s="225"/>
      <c r="AN343" s="225"/>
      <c r="AO343" s="225"/>
      <c r="AP343" s="225"/>
      <c r="AQ343" s="225"/>
      <c r="AR343" s="225"/>
      <c r="AS343" s="225"/>
      <c r="AT343" s="225"/>
      <c r="AU343" s="225"/>
    </row>
    <row r="344" spans="1:47" ht="15" thickBot="1"/>
    <row r="345" spans="1:47">
      <c r="B345" s="263" t="s">
        <v>244</v>
      </c>
      <c r="C345" s="257">
        <v>2</v>
      </c>
      <c r="D345" s="257">
        <v>3</v>
      </c>
      <c r="E345" s="258">
        <v>20</v>
      </c>
    </row>
    <row r="346" spans="1:47">
      <c r="B346" s="264" t="s">
        <v>245</v>
      </c>
      <c r="C346" s="259">
        <v>4</v>
      </c>
      <c r="D346" s="259">
        <v>5</v>
      </c>
      <c r="E346" s="260">
        <v>20</v>
      </c>
    </row>
    <row r="347" spans="1:47">
      <c r="B347" s="264" t="s">
        <v>246</v>
      </c>
      <c r="C347" s="259">
        <v>6</v>
      </c>
      <c r="D347" s="259">
        <v>7</v>
      </c>
      <c r="E347" s="260">
        <v>25</v>
      </c>
    </row>
    <row r="348" spans="1:47" ht="15" thickBot="1">
      <c r="B348" s="265" t="s">
        <v>247</v>
      </c>
      <c r="C348" s="261">
        <v>8</v>
      </c>
      <c r="D348" s="261">
        <v>9</v>
      </c>
      <c r="E348" s="262">
        <v>40</v>
      </c>
    </row>
    <row r="350" spans="1:47" ht="15" thickBot="1">
      <c r="C350" s="163" t="s">
        <v>252</v>
      </c>
    </row>
    <row r="351" spans="1:47">
      <c r="B351" s="234" t="s">
        <v>259</v>
      </c>
      <c r="C351" s="235">
        <v>2.89</v>
      </c>
      <c r="D351" s="235">
        <v>0</v>
      </c>
      <c r="E351" s="236">
        <v>0</v>
      </c>
    </row>
    <row r="352" spans="1:47">
      <c r="B352" s="241" t="s">
        <v>260</v>
      </c>
      <c r="C352" s="133">
        <v>2.88</v>
      </c>
      <c r="D352" s="133">
        <v>0</v>
      </c>
      <c r="E352" s="240">
        <v>16</v>
      </c>
    </row>
    <row r="353" spans="2:5">
      <c r="B353" s="241" t="s">
        <v>261</v>
      </c>
      <c r="C353" s="133">
        <v>3.53</v>
      </c>
      <c r="D353" s="133">
        <v>1</v>
      </c>
      <c r="E353" s="240">
        <v>0</v>
      </c>
    </row>
    <row r="354" spans="2:5">
      <c r="B354" s="241" t="s">
        <v>262</v>
      </c>
      <c r="C354" s="133">
        <v>3.85</v>
      </c>
      <c r="D354" s="133">
        <v>1</v>
      </c>
      <c r="E354" s="240">
        <v>16</v>
      </c>
    </row>
    <row r="355" spans="2:5">
      <c r="B355" s="241" t="s">
        <v>263</v>
      </c>
      <c r="C355" s="133">
        <v>4.58</v>
      </c>
      <c r="D355" s="133">
        <v>2</v>
      </c>
      <c r="E355" s="240">
        <v>0</v>
      </c>
    </row>
    <row r="356" spans="2:5">
      <c r="B356" s="241" t="s">
        <v>264</v>
      </c>
      <c r="C356" s="133">
        <v>4.5</v>
      </c>
      <c r="D356" s="133">
        <v>2</v>
      </c>
      <c r="E356" s="240">
        <v>16</v>
      </c>
    </row>
    <row r="357" spans="2:5">
      <c r="B357" s="241" t="s">
        <v>265</v>
      </c>
      <c r="C357" s="133">
        <v>4.9000000000000004</v>
      </c>
      <c r="D357" s="133">
        <v>3</v>
      </c>
      <c r="E357" s="240">
        <v>0</v>
      </c>
    </row>
    <row r="358" spans="2:5">
      <c r="B358" s="241" t="s">
        <v>266</v>
      </c>
      <c r="C358" s="133">
        <v>4.41</v>
      </c>
      <c r="D358" s="133">
        <v>3</v>
      </c>
      <c r="E358" s="240">
        <v>16</v>
      </c>
    </row>
    <row r="359" spans="2:5">
      <c r="B359" s="241" t="s">
        <v>267</v>
      </c>
      <c r="C359" s="133">
        <v>5.29</v>
      </c>
      <c r="D359" s="133">
        <v>4</v>
      </c>
      <c r="E359" s="240">
        <v>0</v>
      </c>
    </row>
    <row r="360" spans="2:5">
      <c r="B360" s="241" t="s">
        <v>268</v>
      </c>
      <c r="C360" s="133">
        <v>5.51</v>
      </c>
      <c r="D360" s="133">
        <v>4</v>
      </c>
      <c r="E360" s="240">
        <v>16</v>
      </c>
    </row>
    <row r="361" spans="2:5">
      <c r="B361" s="241" t="s">
        <v>269</v>
      </c>
      <c r="C361" s="133">
        <v>6.65</v>
      </c>
      <c r="D361" s="133">
        <v>5</v>
      </c>
      <c r="E361" s="240">
        <v>0</v>
      </c>
    </row>
    <row r="362" spans="2:5">
      <c r="B362" s="241" t="s">
        <v>270</v>
      </c>
      <c r="C362" s="133">
        <v>6.03</v>
      </c>
      <c r="D362" s="133">
        <v>5</v>
      </c>
      <c r="E362" s="240">
        <v>16</v>
      </c>
    </row>
    <row r="363" spans="2:5">
      <c r="B363" s="241" t="s">
        <v>272</v>
      </c>
      <c r="C363" s="133">
        <v>7.85</v>
      </c>
      <c r="D363" s="133">
        <v>6</v>
      </c>
      <c r="E363" s="240">
        <v>0</v>
      </c>
    </row>
    <row r="364" spans="2:5">
      <c r="B364" s="241" t="s">
        <v>275</v>
      </c>
      <c r="C364" s="133">
        <v>7.85</v>
      </c>
      <c r="D364" s="133">
        <v>6</v>
      </c>
      <c r="E364" s="240">
        <v>16</v>
      </c>
    </row>
    <row r="365" spans="2:5">
      <c r="B365" s="241" t="s">
        <v>280</v>
      </c>
      <c r="C365" s="133">
        <v>8.6</v>
      </c>
      <c r="D365" s="133">
        <v>7</v>
      </c>
      <c r="E365" s="240">
        <v>0</v>
      </c>
    </row>
    <row r="366" spans="2:5">
      <c r="B366" s="241" t="s">
        <v>281</v>
      </c>
      <c r="C366" s="133">
        <v>7.69</v>
      </c>
      <c r="D366" s="133">
        <v>7</v>
      </c>
      <c r="E366" s="240">
        <v>16</v>
      </c>
    </row>
    <row r="367" spans="2:5">
      <c r="B367" s="241" t="s">
        <v>282</v>
      </c>
      <c r="C367" s="133">
        <v>8.41</v>
      </c>
      <c r="D367" s="133">
        <v>8</v>
      </c>
      <c r="E367" s="240">
        <v>0</v>
      </c>
    </row>
    <row r="368" spans="2:5" ht="15" thickBot="1">
      <c r="B368" s="221" t="s">
        <v>283</v>
      </c>
      <c r="C368" s="222">
        <v>7.49</v>
      </c>
      <c r="D368" s="222">
        <v>8</v>
      </c>
      <c r="E368" s="223">
        <v>16</v>
      </c>
    </row>
  </sheetData>
  <customSheetViews>
    <customSheetView guid="{0C99ABE2-728B-4C30-A993-CD651C64FAAE}" state="hidden">
      <selection activeCell="M92" sqref="M92"/>
      <pageMargins left="0.7" right="0.7" top="0.75" bottom="0.75" header="0.3" footer="0.3"/>
      <pageSetup paperSize="9" orientation="portrait" r:id="rId1"/>
    </customSheetView>
    <customSheetView guid="{2BA56ECA-30F6-456D-AB26-04DD1698A098}" state="hidden">
      <selection activeCell="M92" sqref="M92"/>
      <pageMargins left="0.7" right="0.7" top="0.75" bottom="0.75" header="0.3" footer="0.3"/>
      <pageSetup paperSize="9" orientation="portrait" r:id="rId2"/>
    </customSheetView>
  </customSheetViews>
  <mergeCells count="252">
    <mergeCell ref="AN326:AQ326"/>
    <mergeCell ref="AR326:AU326"/>
    <mergeCell ref="P326:S326"/>
    <mergeCell ref="T326:W326"/>
    <mergeCell ref="X326:AA326"/>
    <mergeCell ref="AB326:AE326"/>
    <mergeCell ref="AF326:AI326"/>
    <mergeCell ref="AJ326:AM326"/>
    <mergeCell ref="AN307:AQ307"/>
    <mergeCell ref="AR307:AU307"/>
    <mergeCell ref="F325:G325"/>
    <mergeCell ref="H325:I325"/>
    <mergeCell ref="J325:K325"/>
    <mergeCell ref="L325:M325"/>
    <mergeCell ref="P325:AE325"/>
    <mergeCell ref="AF325:AU325"/>
    <mergeCell ref="P307:S307"/>
    <mergeCell ref="T307:W307"/>
    <mergeCell ref="X307:AA307"/>
    <mergeCell ref="AB307:AE307"/>
    <mergeCell ref="AF307:AI307"/>
    <mergeCell ref="AJ307:AM307"/>
    <mergeCell ref="F306:G306"/>
    <mergeCell ref="H306:I306"/>
    <mergeCell ref="J306:K306"/>
    <mergeCell ref="L306:M306"/>
    <mergeCell ref="P306:AE306"/>
    <mergeCell ref="AF306:AU306"/>
    <mergeCell ref="AN269:AQ269"/>
    <mergeCell ref="AR269:AU269"/>
    <mergeCell ref="F287:G287"/>
    <mergeCell ref="H287:I287"/>
    <mergeCell ref="J287:K287"/>
    <mergeCell ref="L287:M287"/>
    <mergeCell ref="P269:S269"/>
    <mergeCell ref="T269:W269"/>
    <mergeCell ref="X269:AA269"/>
    <mergeCell ref="AB269:AE269"/>
    <mergeCell ref="AF269:AI269"/>
    <mergeCell ref="AJ269:AM269"/>
    <mergeCell ref="AF287:AU287"/>
    <mergeCell ref="P288:S288"/>
    <mergeCell ref="T288:W288"/>
    <mergeCell ref="X288:AA288"/>
    <mergeCell ref="AB288:AE288"/>
    <mergeCell ref="AF288:AI288"/>
    <mergeCell ref="F268:G268"/>
    <mergeCell ref="H268:I268"/>
    <mergeCell ref="J268:K268"/>
    <mergeCell ref="L268:M268"/>
    <mergeCell ref="P268:AE268"/>
    <mergeCell ref="AF268:AU268"/>
    <mergeCell ref="AN231:AQ231"/>
    <mergeCell ref="AR231:AU231"/>
    <mergeCell ref="F249:G249"/>
    <mergeCell ref="H249:I249"/>
    <mergeCell ref="J249:K249"/>
    <mergeCell ref="L249:M249"/>
    <mergeCell ref="P231:S231"/>
    <mergeCell ref="T231:W231"/>
    <mergeCell ref="X231:AA231"/>
    <mergeCell ref="AB231:AE231"/>
    <mergeCell ref="AF231:AI231"/>
    <mergeCell ref="AJ231:AM231"/>
    <mergeCell ref="F230:G230"/>
    <mergeCell ref="H230:I230"/>
    <mergeCell ref="J230:K230"/>
    <mergeCell ref="L230:M230"/>
    <mergeCell ref="P230:AE230"/>
    <mergeCell ref="AF230:AU230"/>
    <mergeCell ref="AN193:AQ193"/>
    <mergeCell ref="AR193:AU193"/>
    <mergeCell ref="F211:G211"/>
    <mergeCell ref="H211:I211"/>
    <mergeCell ref="J211:K211"/>
    <mergeCell ref="L211:M211"/>
    <mergeCell ref="P193:S193"/>
    <mergeCell ref="T193:W193"/>
    <mergeCell ref="X193:AA193"/>
    <mergeCell ref="AB193:AE193"/>
    <mergeCell ref="AF193:AI193"/>
    <mergeCell ref="AJ193:AM193"/>
    <mergeCell ref="AF211:AU211"/>
    <mergeCell ref="AF212:AI212"/>
    <mergeCell ref="AJ212:AM212"/>
    <mergeCell ref="AN212:AQ212"/>
    <mergeCell ref="AR212:AU212"/>
    <mergeCell ref="F192:G192"/>
    <mergeCell ref="H192:I192"/>
    <mergeCell ref="J192:K192"/>
    <mergeCell ref="L192:M192"/>
    <mergeCell ref="P192:AE192"/>
    <mergeCell ref="AF192:AU192"/>
    <mergeCell ref="AN155:AQ155"/>
    <mergeCell ref="AR155:AU155"/>
    <mergeCell ref="F173:G173"/>
    <mergeCell ref="H173:I173"/>
    <mergeCell ref="J173:K173"/>
    <mergeCell ref="L173:M173"/>
    <mergeCell ref="P155:S155"/>
    <mergeCell ref="T155:W155"/>
    <mergeCell ref="X155:AA155"/>
    <mergeCell ref="AB155:AE155"/>
    <mergeCell ref="AF155:AI155"/>
    <mergeCell ref="AJ155:AM155"/>
    <mergeCell ref="AF173:AU173"/>
    <mergeCell ref="AF174:AI174"/>
    <mergeCell ref="AJ174:AM174"/>
    <mergeCell ref="AN174:AQ174"/>
    <mergeCell ref="AR174:AU174"/>
    <mergeCell ref="F154:G154"/>
    <mergeCell ref="H154:I154"/>
    <mergeCell ref="J154:K154"/>
    <mergeCell ref="L154:M154"/>
    <mergeCell ref="P154:AE154"/>
    <mergeCell ref="AF154:AU154"/>
    <mergeCell ref="AN117:AQ117"/>
    <mergeCell ref="AR117:AU117"/>
    <mergeCell ref="F135:G135"/>
    <mergeCell ref="H135:I135"/>
    <mergeCell ref="J135:K135"/>
    <mergeCell ref="L135:M135"/>
    <mergeCell ref="P117:S117"/>
    <mergeCell ref="T117:W117"/>
    <mergeCell ref="X117:AA117"/>
    <mergeCell ref="AB117:AE117"/>
    <mergeCell ref="AF117:AI117"/>
    <mergeCell ref="AJ117:AM117"/>
    <mergeCell ref="AF135:AU135"/>
    <mergeCell ref="AF136:AI136"/>
    <mergeCell ref="AJ136:AM136"/>
    <mergeCell ref="AN136:AQ136"/>
    <mergeCell ref="AR136:AU136"/>
    <mergeCell ref="F116:G116"/>
    <mergeCell ref="H116:I116"/>
    <mergeCell ref="J116:K116"/>
    <mergeCell ref="L116:M116"/>
    <mergeCell ref="P116:AE116"/>
    <mergeCell ref="AF116:AU116"/>
    <mergeCell ref="AN79:AQ79"/>
    <mergeCell ref="AR79:AU79"/>
    <mergeCell ref="F97:G97"/>
    <mergeCell ref="H97:I97"/>
    <mergeCell ref="J97:K97"/>
    <mergeCell ref="L97:M97"/>
    <mergeCell ref="P79:S79"/>
    <mergeCell ref="T79:W79"/>
    <mergeCell ref="X79:AA79"/>
    <mergeCell ref="AB79:AE79"/>
    <mergeCell ref="AF79:AI79"/>
    <mergeCell ref="AJ79:AM79"/>
    <mergeCell ref="P97:AE97"/>
    <mergeCell ref="AF97:AU97"/>
    <mergeCell ref="P98:S98"/>
    <mergeCell ref="T98:W98"/>
    <mergeCell ref="X98:AA98"/>
    <mergeCell ref="AB98:AE98"/>
    <mergeCell ref="F78:G78"/>
    <mergeCell ref="H78:I78"/>
    <mergeCell ref="J78:K78"/>
    <mergeCell ref="L78:M78"/>
    <mergeCell ref="P78:AE78"/>
    <mergeCell ref="AF78:AU78"/>
    <mergeCell ref="AN41:AQ41"/>
    <mergeCell ref="AR41:AU41"/>
    <mergeCell ref="F59:G59"/>
    <mergeCell ref="H59:I59"/>
    <mergeCell ref="J59:K59"/>
    <mergeCell ref="L59:M59"/>
    <mergeCell ref="P41:S41"/>
    <mergeCell ref="T41:W41"/>
    <mergeCell ref="X41:AA41"/>
    <mergeCell ref="AB41:AE41"/>
    <mergeCell ref="AF41:AI41"/>
    <mergeCell ref="AJ41:AM41"/>
    <mergeCell ref="F40:G40"/>
    <mergeCell ref="H40:I40"/>
    <mergeCell ref="J40:K40"/>
    <mergeCell ref="L40:M40"/>
    <mergeCell ref="P40:AE40"/>
    <mergeCell ref="AF40:AU40"/>
    <mergeCell ref="P21:AE21"/>
    <mergeCell ref="AF21:AU21"/>
    <mergeCell ref="P22:S22"/>
    <mergeCell ref="T22:W22"/>
    <mergeCell ref="X22:AA22"/>
    <mergeCell ref="AB22:AE22"/>
    <mergeCell ref="AF22:AI22"/>
    <mergeCell ref="AJ22:AM22"/>
    <mergeCell ref="AN22:AQ22"/>
    <mergeCell ref="AR22:AU22"/>
    <mergeCell ref="F2:G2"/>
    <mergeCell ref="H2:I2"/>
    <mergeCell ref="J2:K2"/>
    <mergeCell ref="L2:M2"/>
    <mergeCell ref="F21:G21"/>
    <mergeCell ref="H21:I21"/>
    <mergeCell ref="J21:K21"/>
    <mergeCell ref="L21:M21"/>
    <mergeCell ref="P287:AE287"/>
    <mergeCell ref="P211:AE211"/>
    <mergeCell ref="P212:S212"/>
    <mergeCell ref="T212:W212"/>
    <mergeCell ref="X212:AA212"/>
    <mergeCell ref="AB212:AE212"/>
    <mergeCell ref="P173:AE173"/>
    <mergeCell ref="P174:S174"/>
    <mergeCell ref="T174:W174"/>
    <mergeCell ref="X174:AA174"/>
    <mergeCell ref="AB174:AE174"/>
    <mergeCell ref="P135:AE135"/>
    <mergeCell ref="P136:S136"/>
    <mergeCell ref="T136:W136"/>
    <mergeCell ref="X136:AA136"/>
    <mergeCell ref="AB136:AE136"/>
    <mergeCell ref="AJ288:AM288"/>
    <mergeCell ref="AN288:AQ288"/>
    <mergeCell ref="AR288:AU288"/>
    <mergeCell ref="P249:AE249"/>
    <mergeCell ref="AF249:AU249"/>
    <mergeCell ref="P250:S250"/>
    <mergeCell ref="T250:W250"/>
    <mergeCell ref="X250:AA250"/>
    <mergeCell ref="AB250:AE250"/>
    <mergeCell ref="AF250:AI250"/>
    <mergeCell ref="AJ250:AM250"/>
    <mergeCell ref="AN250:AQ250"/>
    <mergeCell ref="AR250:AU250"/>
    <mergeCell ref="AF98:AI98"/>
    <mergeCell ref="AJ98:AM98"/>
    <mergeCell ref="AN98:AQ98"/>
    <mergeCell ref="AR98:AU98"/>
    <mergeCell ref="P59:AE59"/>
    <mergeCell ref="AF59:AU59"/>
    <mergeCell ref="P60:S60"/>
    <mergeCell ref="T60:W60"/>
    <mergeCell ref="X60:AA60"/>
    <mergeCell ref="AB60:AE60"/>
    <mergeCell ref="AF60:AI60"/>
    <mergeCell ref="AJ60:AM60"/>
    <mergeCell ref="AN60:AQ60"/>
    <mergeCell ref="AR60:AU60"/>
    <mergeCell ref="P2:AE2"/>
    <mergeCell ref="AF2:AU2"/>
    <mergeCell ref="P3:S3"/>
    <mergeCell ref="T3:W3"/>
    <mergeCell ref="X3:AA3"/>
    <mergeCell ref="AB3:AE3"/>
    <mergeCell ref="AF3:AI3"/>
    <mergeCell ref="AJ3:AM3"/>
    <mergeCell ref="AN3:AQ3"/>
    <mergeCell ref="AR3:AU3"/>
  </mergeCells>
  <pageMargins left="0.7" right="0.7" top="0.75" bottom="0.75" header="0.3" footer="0.3"/>
  <pageSetup paperSize="9" orientation="portrait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215967"/>
  </sheetPr>
  <dimension ref="A1:AC266"/>
  <sheetViews>
    <sheetView workbookViewId="0">
      <selection activeCell="B15" sqref="B15"/>
    </sheetView>
  </sheetViews>
  <sheetFormatPr defaultRowHeight="14.4"/>
  <cols>
    <col min="1" max="1" width="35.44140625" customWidth="1"/>
    <col min="2" max="3" width="9.109375" style="163" customWidth="1"/>
    <col min="8" max="8" width="8.88671875" customWidth="1"/>
    <col min="12" max="12" width="3.109375" customWidth="1"/>
    <col min="20" max="20" width="3.44140625" style="163" customWidth="1"/>
    <col min="27" max="27" width="3.44140625" style="163" customWidth="1"/>
    <col min="259" max="259" width="35.44140625" customWidth="1"/>
    <col min="260" max="261" width="9.109375" customWidth="1"/>
    <col min="264" max="264" width="16.33203125" bestFit="1" customWidth="1"/>
    <col min="268" max="268" width="3.109375" customWidth="1"/>
    <col min="276" max="276" width="3.44140625" customWidth="1"/>
    <col min="283" max="283" width="3.44140625" customWidth="1"/>
    <col min="515" max="515" width="35.44140625" customWidth="1"/>
    <col min="516" max="517" width="9.109375" customWidth="1"/>
    <col min="520" max="520" width="16.33203125" bestFit="1" customWidth="1"/>
    <col min="524" max="524" width="3.109375" customWidth="1"/>
    <col min="532" max="532" width="3.44140625" customWidth="1"/>
    <col min="539" max="539" width="3.44140625" customWidth="1"/>
    <col min="771" max="771" width="35.44140625" customWidth="1"/>
    <col min="772" max="773" width="9.109375" customWidth="1"/>
    <col min="776" max="776" width="16.33203125" bestFit="1" customWidth="1"/>
    <col min="780" max="780" width="3.109375" customWidth="1"/>
    <col min="788" max="788" width="3.44140625" customWidth="1"/>
    <col min="795" max="795" width="3.44140625" customWidth="1"/>
    <col min="1027" max="1027" width="35.44140625" customWidth="1"/>
    <col min="1028" max="1029" width="9.109375" customWidth="1"/>
    <col min="1032" max="1032" width="16.33203125" bestFit="1" customWidth="1"/>
    <col min="1036" max="1036" width="3.109375" customWidth="1"/>
    <col min="1044" max="1044" width="3.44140625" customWidth="1"/>
    <col min="1051" max="1051" width="3.44140625" customWidth="1"/>
    <col min="1283" max="1283" width="35.44140625" customWidth="1"/>
    <col min="1284" max="1285" width="9.109375" customWidth="1"/>
    <col min="1288" max="1288" width="16.33203125" bestFit="1" customWidth="1"/>
    <col min="1292" max="1292" width="3.109375" customWidth="1"/>
    <col min="1300" max="1300" width="3.44140625" customWidth="1"/>
    <col min="1307" max="1307" width="3.44140625" customWidth="1"/>
    <col min="1539" max="1539" width="35.44140625" customWidth="1"/>
    <col min="1540" max="1541" width="9.109375" customWidth="1"/>
    <col min="1544" max="1544" width="16.33203125" bestFit="1" customWidth="1"/>
    <col min="1548" max="1548" width="3.109375" customWidth="1"/>
    <col min="1556" max="1556" width="3.44140625" customWidth="1"/>
    <col min="1563" max="1563" width="3.44140625" customWidth="1"/>
    <col min="1795" max="1795" width="35.44140625" customWidth="1"/>
    <col min="1796" max="1797" width="9.109375" customWidth="1"/>
    <col min="1800" max="1800" width="16.33203125" bestFit="1" customWidth="1"/>
    <col min="1804" max="1804" width="3.109375" customWidth="1"/>
    <col min="1812" max="1812" width="3.44140625" customWidth="1"/>
    <col min="1819" max="1819" width="3.44140625" customWidth="1"/>
    <col min="2051" max="2051" width="35.44140625" customWidth="1"/>
    <col min="2052" max="2053" width="9.109375" customWidth="1"/>
    <col min="2056" max="2056" width="16.33203125" bestFit="1" customWidth="1"/>
    <col min="2060" max="2060" width="3.109375" customWidth="1"/>
    <col min="2068" max="2068" width="3.44140625" customWidth="1"/>
    <col min="2075" max="2075" width="3.44140625" customWidth="1"/>
    <col min="2307" max="2307" width="35.44140625" customWidth="1"/>
    <col min="2308" max="2309" width="9.109375" customWidth="1"/>
    <col min="2312" max="2312" width="16.33203125" bestFit="1" customWidth="1"/>
    <col min="2316" max="2316" width="3.109375" customWidth="1"/>
    <col min="2324" max="2324" width="3.44140625" customWidth="1"/>
    <col min="2331" max="2331" width="3.44140625" customWidth="1"/>
    <col min="2563" max="2563" width="35.44140625" customWidth="1"/>
    <col min="2564" max="2565" width="9.109375" customWidth="1"/>
    <col min="2568" max="2568" width="16.33203125" bestFit="1" customWidth="1"/>
    <col min="2572" max="2572" width="3.109375" customWidth="1"/>
    <col min="2580" max="2580" width="3.44140625" customWidth="1"/>
    <col min="2587" max="2587" width="3.44140625" customWidth="1"/>
    <col min="2819" max="2819" width="35.44140625" customWidth="1"/>
    <col min="2820" max="2821" width="9.109375" customWidth="1"/>
    <col min="2824" max="2824" width="16.33203125" bestFit="1" customWidth="1"/>
    <col min="2828" max="2828" width="3.109375" customWidth="1"/>
    <col min="2836" max="2836" width="3.44140625" customWidth="1"/>
    <col min="2843" max="2843" width="3.44140625" customWidth="1"/>
    <col min="3075" max="3075" width="35.44140625" customWidth="1"/>
    <col min="3076" max="3077" width="9.109375" customWidth="1"/>
    <col min="3080" max="3080" width="16.33203125" bestFit="1" customWidth="1"/>
    <col min="3084" max="3084" width="3.109375" customWidth="1"/>
    <col min="3092" max="3092" width="3.44140625" customWidth="1"/>
    <col min="3099" max="3099" width="3.44140625" customWidth="1"/>
    <col min="3331" max="3331" width="35.44140625" customWidth="1"/>
    <col min="3332" max="3333" width="9.109375" customWidth="1"/>
    <col min="3336" max="3336" width="16.33203125" bestFit="1" customWidth="1"/>
    <col min="3340" max="3340" width="3.109375" customWidth="1"/>
    <col min="3348" max="3348" width="3.44140625" customWidth="1"/>
    <col min="3355" max="3355" width="3.44140625" customWidth="1"/>
    <col min="3587" max="3587" width="35.44140625" customWidth="1"/>
    <col min="3588" max="3589" width="9.109375" customWidth="1"/>
    <col min="3592" max="3592" width="16.33203125" bestFit="1" customWidth="1"/>
    <col min="3596" max="3596" width="3.109375" customWidth="1"/>
    <col min="3604" max="3604" width="3.44140625" customWidth="1"/>
    <col min="3611" max="3611" width="3.44140625" customWidth="1"/>
    <col min="3843" max="3843" width="35.44140625" customWidth="1"/>
    <col min="3844" max="3845" width="9.109375" customWidth="1"/>
    <col min="3848" max="3848" width="16.33203125" bestFit="1" customWidth="1"/>
    <col min="3852" max="3852" width="3.109375" customWidth="1"/>
    <col min="3860" max="3860" width="3.44140625" customWidth="1"/>
    <col min="3867" max="3867" width="3.44140625" customWidth="1"/>
    <col min="4099" max="4099" width="35.44140625" customWidth="1"/>
    <col min="4100" max="4101" width="9.109375" customWidth="1"/>
    <col min="4104" max="4104" width="16.33203125" bestFit="1" customWidth="1"/>
    <col min="4108" max="4108" width="3.109375" customWidth="1"/>
    <col min="4116" max="4116" width="3.44140625" customWidth="1"/>
    <col min="4123" max="4123" width="3.44140625" customWidth="1"/>
    <col min="4355" max="4355" width="35.44140625" customWidth="1"/>
    <col min="4356" max="4357" width="9.109375" customWidth="1"/>
    <col min="4360" max="4360" width="16.33203125" bestFit="1" customWidth="1"/>
    <col min="4364" max="4364" width="3.109375" customWidth="1"/>
    <col min="4372" max="4372" width="3.44140625" customWidth="1"/>
    <col min="4379" max="4379" width="3.44140625" customWidth="1"/>
    <col min="4611" max="4611" width="35.44140625" customWidth="1"/>
    <col min="4612" max="4613" width="9.109375" customWidth="1"/>
    <col min="4616" max="4616" width="16.33203125" bestFit="1" customWidth="1"/>
    <col min="4620" max="4620" width="3.109375" customWidth="1"/>
    <col min="4628" max="4628" width="3.44140625" customWidth="1"/>
    <col min="4635" max="4635" width="3.44140625" customWidth="1"/>
    <col min="4867" max="4867" width="35.44140625" customWidth="1"/>
    <col min="4868" max="4869" width="9.109375" customWidth="1"/>
    <col min="4872" max="4872" width="16.33203125" bestFit="1" customWidth="1"/>
    <col min="4876" max="4876" width="3.109375" customWidth="1"/>
    <col min="4884" max="4884" width="3.44140625" customWidth="1"/>
    <col min="4891" max="4891" width="3.44140625" customWidth="1"/>
    <col min="5123" max="5123" width="35.44140625" customWidth="1"/>
    <col min="5124" max="5125" width="9.109375" customWidth="1"/>
    <col min="5128" max="5128" width="16.33203125" bestFit="1" customWidth="1"/>
    <col min="5132" max="5132" width="3.109375" customWidth="1"/>
    <col min="5140" max="5140" width="3.44140625" customWidth="1"/>
    <col min="5147" max="5147" width="3.44140625" customWidth="1"/>
    <col min="5379" max="5379" width="35.44140625" customWidth="1"/>
    <col min="5380" max="5381" width="9.109375" customWidth="1"/>
    <col min="5384" max="5384" width="16.33203125" bestFit="1" customWidth="1"/>
    <col min="5388" max="5388" width="3.109375" customWidth="1"/>
    <col min="5396" max="5396" width="3.44140625" customWidth="1"/>
    <col min="5403" max="5403" width="3.44140625" customWidth="1"/>
    <col min="5635" max="5635" width="35.44140625" customWidth="1"/>
    <col min="5636" max="5637" width="9.109375" customWidth="1"/>
    <col min="5640" max="5640" width="16.33203125" bestFit="1" customWidth="1"/>
    <col min="5644" max="5644" width="3.109375" customWidth="1"/>
    <col min="5652" max="5652" width="3.44140625" customWidth="1"/>
    <col min="5659" max="5659" width="3.44140625" customWidth="1"/>
    <col min="5891" max="5891" width="35.44140625" customWidth="1"/>
    <col min="5892" max="5893" width="9.109375" customWidth="1"/>
    <col min="5896" max="5896" width="16.33203125" bestFit="1" customWidth="1"/>
    <col min="5900" max="5900" width="3.109375" customWidth="1"/>
    <col min="5908" max="5908" width="3.44140625" customWidth="1"/>
    <col min="5915" max="5915" width="3.44140625" customWidth="1"/>
    <col min="6147" max="6147" width="35.44140625" customWidth="1"/>
    <col min="6148" max="6149" width="9.109375" customWidth="1"/>
    <col min="6152" max="6152" width="16.33203125" bestFit="1" customWidth="1"/>
    <col min="6156" max="6156" width="3.109375" customWidth="1"/>
    <col min="6164" max="6164" width="3.44140625" customWidth="1"/>
    <col min="6171" max="6171" width="3.44140625" customWidth="1"/>
    <col min="6403" max="6403" width="35.44140625" customWidth="1"/>
    <col min="6404" max="6405" width="9.109375" customWidth="1"/>
    <col min="6408" max="6408" width="16.33203125" bestFit="1" customWidth="1"/>
    <col min="6412" max="6412" width="3.109375" customWidth="1"/>
    <col min="6420" max="6420" width="3.44140625" customWidth="1"/>
    <col min="6427" max="6427" width="3.44140625" customWidth="1"/>
    <col min="6659" max="6659" width="35.44140625" customWidth="1"/>
    <col min="6660" max="6661" width="9.109375" customWidth="1"/>
    <col min="6664" max="6664" width="16.33203125" bestFit="1" customWidth="1"/>
    <col min="6668" max="6668" width="3.109375" customWidth="1"/>
    <col min="6676" max="6676" width="3.44140625" customWidth="1"/>
    <col min="6683" max="6683" width="3.44140625" customWidth="1"/>
    <col min="6915" max="6915" width="35.44140625" customWidth="1"/>
    <col min="6916" max="6917" width="9.109375" customWidth="1"/>
    <col min="6920" max="6920" width="16.33203125" bestFit="1" customWidth="1"/>
    <col min="6924" max="6924" width="3.109375" customWidth="1"/>
    <col min="6932" max="6932" width="3.44140625" customWidth="1"/>
    <col min="6939" max="6939" width="3.44140625" customWidth="1"/>
    <col min="7171" max="7171" width="35.44140625" customWidth="1"/>
    <col min="7172" max="7173" width="9.109375" customWidth="1"/>
    <col min="7176" max="7176" width="16.33203125" bestFit="1" customWidth="1"/>
    <col min="7180" max="7180" width="3.109375" customWidth="1"/>
    <col min="7188" max="7188" width="3.44140625" customWidth="1"/>
    <col min="7195" max="7195" width="3.44140625" customWidth="1"/>
    <col min="7427" max="7427" width="35.44140625" customWidth="1"/>
    <col min="7428" max="7429" width="9.109375" customWidth="1"/>
    <col min="7432" max="7432" width="16.33203125" bestFit="1" customWidth="1"/>
    <col min="7436" max="7436" width="3.109375" customWidth="1"/>
    <col min="7444" max="7444" width="3.44140625" customWidth="1"/>
    <col min="7451" max="7451" width="3.44140625" customWidth="1"/>
    <col min="7683" max="7683" width="35.44140625" customWidth="1"/>
    <col min="7684" max="7685" width="9.109375" customWidth="1"/>
    <col min="7688" max="7688" width="16.33203125" bestFit="1" customWidth="1"/>
    <col min="7692" max="7692" width="3.109375" customWidth="1"/>
    <col min="7700" max="7700" width="3.44140625" customWidth="1"/>
    <col min="7707" max="7707" width="3.44140625" customWidth="1"/>
    <col min="7939" max="7939" width="35.44140625" customWidth="1"/>
    <col min="7940" max="7941" width="9.109375" customWidth="1"/>
    <col min="7944" max="7944" width="16.33203125" bestFit="1" customWidth="1"/>
    <col min="7948" max="7948" width="3.109375" customWidth="1"/>
    <col min="7956" max="7956" width="3.44140625" customWidth="1"/>
    <col min="7963" max="7963" width="3.44140625" customWidth="1"/>
    <col min="8195" max="8195" width="35.44140625" customWidth="1"/>
    <col min="8196" max="8197" width="9.109375" customWidth="1"/>
    <col min="8200" max="8200" width="16.33203125" bestFit="1" customWidth="1"/>
    <col min="8204" max="8204" width="3.109375" customWidth="1"/>
    <col min="8212" max="8212" width="3.44140625" customWidth="1"/>
    <col min="8219" max="8219" width="3.44140625" customWidth="1"/>
    <col min="8451" max="8451" width="35.44140625" customWidth="1"/>
    <col min="8452" max="8453" width="9.109375" customWidth="1"/>
    <col min="8456" max="8456" width="16.33203125" bestFit="1" customWidth="1"/>
    <col min="8460" max="8460" width="3.109375" customWidth="1"/>
    <col min="8468" max="8468" width="3.44140625" customWidth="1"/>
    <col min="8475" max="8475" width="3.44140625" customWidth="1"/>
    <col min="8707" max="8707" width="35.44140625" customWidth="1"/>
    <col min="8708" max="8709" width="9.109375" customWidth="1"/>
    <col min="8712" max="8712" width="16.33203125" bestFit="1" customWidth="1"/>
    <col min="8716" max="8716" width="3.109375" customWidth="1"/>
    <col min="8724" max="8724" width="3.44140625" customWidth="1"/>
    <col min="8731" max="8731" width="3.44140625" customWidth="1"/>
    <col min="8963" max="8963" width="35.44140625" customWidth="1"/>
    <col min="8964" max="8965" width="9.109375" customWidth="1"/>
    <col min="8968" max="8968" width="16.33203125" bestFit="1" customWidth="1"/>
    <col min="8972" max="8972" width="3.109375" customWidth="1"/>
    <col min="8980" max="8980" width="3.44140625" customWidth="1"/>
    <col min="8987" max="8987" width="3.44140625" customWidth="1"/>
    <col min="9219" max="9219" width="35.44140625" customWidth="1"/>
    <col min="9220" max="9221" width="9.109375" customWidth="1"/>
    <col min="9224" max="9224" width="16.33203125" bestFit="1" customWidth="1"/>
    <col min="9228" max="9228" width="3.109375" customWidth="1"/>
    <col min="9236" max="9236" width="3.44140625" customWidth="1"/>
    <col min="9243" max="9243" width="3.44140625" customWidth="1"/>
    <col min="9475" max="9475" width="35.44140625" customWidth="1"/>
    <col min="9476" max="9477" width="9.109375" customWidth="1"/>
    <col min="9480" max="9480" width="16.33203125" bestFit="1" customWidth="1"/>
    <col min="9484" max="9484" width="3.109375" customWidth="1"/>
    <col min="9492" max="9492" width="3.44140625" customWidth="1"/>
    <col min="9499" max="9499" width="3.44140625" customWidth="1"/>
    <col min="9731" max="9731" width="35.44140625" customWidth="1"/>
    <col min="9732" max="9733" width="9.109375" customWidth="1"/>
    <col min="9736" max="9736" width="16.33203125" bestFit="1" customWidth="1"/>
    <col min="9740" max="9740" width="3.109375" customWidth="1"/>
    <col min="9748" max="9748" width="3.44140625" customWidth="1"/>
    <col min="9755" max="9755" width="3.44140625" customWidth="1"/>
    <col min="9987" max="9987" width="35.44140625" customWidth="1"/>
    <col min="9988" max="9989" width="9.109375" customWidth="1"/>
    <col min="9992" max="9992" width="16.33203125" bestFit="1" customWidth="1"/>
    <col min="9996" max="9996" width="3.109375" customWidth="1"/>
    <col min="10004" max="10004" width="3.44140625" customWidth="1"/>
    <col min="10011" max="10011" width="3.44140625" customWidth="1"/>
    <col min="10243" max="10243" width="35.44140625" customWidth="1"/>
    <col min="10244" max="10245" width="9.109375" customWidth="1"/>
    <col min="10248" max="10248" width="16.33203125" bestFit="1" customWidth="1"/>
    <col min="10252" max="10252" width="3.109375" customWidth="1"/>
    <col min="10260" max="10260" width="3.44140625" customWidth="1"/>
    <col min="10267" max="10267" width="3.44140625" customWidth="1"/>
    <col min="10499" max="10499" width="35.44140625" customWidth="1"/>
    <col min="10500" max="10501" width="9.109375" customWidth="1"/>
    <col min="10504" max="10504" width="16.33203125" bestFit="1" customWidth="1"/>
    <col min="10508" max="10508" width="3.109375" customWidth="1"/>
    <col min="10516" max="10516" width="3.44140625" customWidth="1"/>
    <col min="10523" max="10523" width="3.44140625" customWidth="1"/>
    <col min="10755" max="10755" width="35.44140625" customWidth="1"/>
    <col min="10756" max="10757" width="9.109375" customWidth="1"/>
    <col min="10760" max="10760" width="16.33203125" bestFit="1" customWidth="1"/>
    <col min="10764" max="10764" width="3.109375" customWidth="1"/>
    <col min="10772" max="10772" width="3.44140625" customWidth="1"/>
    <col min="10779" max="10779" width="3.44140625" customWidth="1"/>
    <col min="11011" max="11011" width="35.44140625" customWidth="1"/>
    <col min="11012" max="11013" width="9.109375" customWidth="1"/>
    <col min="11016" max="11016" width="16.33203125" bestFit="1" customWidth="1"/>
    <col min="11020" max="11020" width="3.109375" customWidth="1"/>
    <col min="11028" max="11028" width="3.44140625" customWidth="1"/>
    <col min="11035" max="11035" width="3.44140625" customWidth="1"/>
    <col min="11267" max="11267" width="35.44140625" customWidth="1"/>
    <col min="11268" max="11269" width="9.109375" customWidth="1"/>
    <col min="11272" max="11272" width="16.33203125" bestFit="1" customWidth="1"/>
    <col min="11276" max="11276" width="3.109375" customWidth="1"/>
    <col min="11284" max="11284" width="3.44140625" customWidth="1"/>
    <col min="11291" max="11291" width="3.44140625" customWidth="1"/>
    <col min="11523" max="11523" width="35.44140625" customWidth="1"/>
    <col min="11524" max="11525" width="9.109375" customWidth="1"/>
    <col min="11528" max="11528" width="16.33203125" bestFit="1" customWidth="1"/>
    <col min="11532" max="11532" width="3.109375" customWidth="1"/>
    <col min="11540" max="11540" width="3.44140625" customWidth="1"/>
    <col min="11547" max="11547" width="3.44140625" customWidth="1"/>
    <col min="11779" max="11779" width="35.44140625" customWidth="1"/>
    <col min="11780" max="11781" width="9.109375" customWidth="1"/>
    <col min="11784" max="11784" width="16.33203125" bestFit="1" customWidth="1"/>
    <col min="11788" max="11788" width="3.109375" customWidth="1"/>
    <col min="11796" max="11796" width="3.44140625" customWidth="1"/>
    <col min="11803" max="11803" width="3.44140625" customWidth="1"/>
    <col min="12035" max="12035" width="35.44140625" customWidth="1"/>
    <col min="12036" max="12037" width="9.109375" customWidth="1"/>
    <col min="12040" max="12040" width="16.33203125" bestFit="1" customWidth="1"/>
    <col min="12044" max="12044" width="3.109375" customWidth="1"/>
    <col min="12052" max="12052" width="3.44140625" customWidth="1"/>
    <col min="12059" max="12059" width="3.44140625" customWidth="1"/>
    <col min="12291" max="12291" width="35.44140625" customWidth="1"/>
    <col min="12292" max="12293" width="9.109375" customWidth="1"/>
    <col min="12296" max="12296" width="16.33203125" bestFit="1" customWidth="1"/>
    <col min="12300" max="12300" width="3.109375" customWidth="1"/>
    <col min="12308" max="12308" width="3.44140625" customWidth="1"/>
    <col min="12315" max="12315" width="3.44140625" customWidth="1"/>
    <col min="12547" max="12547" width="35.44140625" customWidth="1"/>
    <col min="12548" max="12549" width="9.109375" customWidth="1"/>
    <col min="12552" max="12552" width="16.33203125" bestFit="1" customWidth="1"/>
    <col min="12556" max="12556" width="3.109375" customWidth="1"/>
    <col min="12564" max="12564" width="3.44140625" customWidth="1"/>
    <col min="12571" max="12571" width="3.44140625" customWidth="1"/>
    <col min="12803" max="12803" width="35.44140625" customWidth="1"/>
    <col min="12804" max="12805" width="9.109375" customWidth="1"/>
    <col min="12808" max="12808" width="16.33203125" bestFit="1" customWidth="1"/>
    <col min="12812" max="12812" width="3.109375" customWidth="1"/>
    <col min="12820" max="12820" width="3.44140625" customWidth="1"/>
    <col min="12827" max="12827" width="3.44140625" customWidth="1"/>
    <col min="13059" max="13059" width="35.44140625" customWidth="1"/>
    <col min="13060" max="13061" width="9.109375" customWidth="1"/>
    <col min="13064" max="13064" width="16.33203125" bestFit="1" customWidth="1"/>
    <col min="13068" max="13068" width="3.109375" customWidth="1"/>
    <col min="13076" max="13076" width="3.44140625" customWidth="1"/>
    <col min="13083" max="13083" width="3.44140625" customWidth="1"/>
    <col min="13315" max="13315" width="35.44140625" customWidth="1"/>
    <col min="13316" max="13317" width="9.109375" customWidth="1"/>
    <col min="13320" max="13320" width="16.33203125" bestFit="1" customWidth="1"/>
    <col min="13324" max="13324" width="3.109375" customWidth="1"/>
    <col min="13332" max="13332" width="3.44140625" customWidth="1"/>
    <col min="13339" max="13339" width="3.44140625" customWidth="1"/>
    <col min="13571" max="13571" width="35.44140625" customWidth="1"/>
    <col min="13572" max="13573" width="9.109375" customWidth="1"/>
    <col min="13576" max="13576" width="16.33203125" bestFit="1" customWidth="1"/>
    <col min="13580" max="13580" width="3.109375" customWidth="1"/>
    <col min="13588" max="13588" width="3.44140625" customWidth="1"/>
    <col min="13595" max="13595" width="3.44140625" customWidth="1"/>
    <col min="13827" max="13827" width="35.44140625" customWidth="1"/>
    <col min="13828" max="13829" width="9.109375" customWidth="1"/>
    <col min="13832" max="13832" width="16.33203125" bestFit="1" customWidth="1"/>
    <col min="13836" max="13836" width="3.109375" customWidth="1"/>
    <col min="13844" max="13844" width="3.44140625" customWidth="1"/>
    <col min="13851" max="13851" width="3.44140625" customWidth="1"/>
    <col min="14083" max="14083" width="35.44140625" customWidth="1"/>
    <col min="14084" max="14085" width="9.109375" customWidth="1"/>
    <col min="14088" max="14088" width="16.33203125" bestFit="1" customWidth="1"/>
    <col min="14092" max="14092" width="3.109375" customWidth="1"/>
    <col min="14100" max="14100" width="3.44140625" customWidth="1"/>
    <col min="14107" max="14107" width="3.44140625" customWidth="1"/>
    <col min="14339" max="14339" width="35.44140625" customWidth="1"/>
    <col min="14340" max="14341" width="9.109375" customWidth="1"/>
    <col min="14344" max="14344" width="16.33203125" bestFit="1" customWidth="1"/>
    <col min="14348" max="14348" width="3.109375" customWidth="1"/>
    <col min="14356" max="14356" width="3.44140625" customWidth="1"/>
    <col min="14363" max="14363" width="3.44140625" customWidth="1"/>
    <col min="14595" max="14595" width="35.44140625" customWidth="1"/>
    <col min="14596" max="14597" width="9.109375" customWidth="1"/>
    <col min="14600" max="14600" width="16.33203125" bestFit="1" customWidth="1"/>
    <col min="14604" max="14604" width="3.109375" customWidth="1"/>
    <col min="14612" max="14612" width="3.44140625" customWidth="1"/>
    <col min="14619" max="14619" width="3.44140625" customWidth="1"/>
    <col min="14851" max="14851" width="35.44140625" customWidth="1"/>
    <col min="14852" max="14853" width="9.109375" customWidth="1"/>
    <col min="14856" max="14856" width="16.33203125" bestFit="1" customWidth="1"/>
    <col min="14860" max="14860" width="3.109375" customWidth="1"/>
    <col min="14868" max="14868" width="3.44140625" customWidth="1"/>
    <col min="14875" max="14875" width="3.44140625" customWidth="1"/>
    <col min="15107" max="15107" width="35.44140625" customWidth="1"/>
    <col min="15108" max="15109" width="9.109375" customWidth="1"/>
    <col min="15112" max="15112" width="16.33203125" bestFit="1" customWidth="1"/>
    <col min="15116" max="15116" width="3.109375" customWidth="1"/>
    <col min="15124" max="15124" width="3.44140625" customWidth="1"/>
    <col min="15131" max="15131" width="3.44140625" customWidth="1"/>
    <col min="15363" max="15363" width="35.44140625" customWidth="1"/>
    <col min="15364" max="15365" width="9.109375" customWidth="1"/>
    <col min="15368" max="15368" width="16.33203125" bestFit="1" customWidth="1"/>
    <col min="15372" max="15372" width="3.109375" customWidth="1"/>
    <col min="15380" max="15380" width="3.44140625" customWidth="1"/>
    <col min="15387" max="15387" width="3.44140625" customWidth="1"/>
    <col min="15619" max="15619" width="35.44140625" customWidth="1"/>
    <col min="15620" max="15621" width="9.109375" customWidth="1"/>
    <col min="15624" max="15624" width="16.33203125" bestFit="1" customWidth="1"/>
    <col min="15628" max="15628" width="3.109375" customWidth="1"/>
    <col min="15636" max="15636" width="3.44140625" customWidth="1"/>
    <col min="15643" max="15643" width="3.44140625" customWidth="1"/>
    <col min="15875" max="15875" width="35.44140625" customWidth="1"/>
    <col min="15876" max="15877" width="9.109375" customWidth="1"/>
    <col min="15880" max="15880" width="16.33203125" bestFit="1" customWidth="1"/>
    <col min="15884" max="15884" width="3.109375" customWidth="1"/>
    <col min="15892" max="15892" width="3.44140625" customWidth="1"/>
    <col min="15899" max="15899" width="3.44140625" customWidth="1"/>
    <col min="16131" max="16131" width="35.44140625" customWidth="1"/>
    <col min="16132" max="16133" width="9.109375" customWidth="1"/>
    <col min="16136" max="16136" width="16.33203125" bestFit="1" customWidth="1"/>
    <col min="16140" max="16140" width="3.109375" customWidth="1"/>
    <col min="16148" max="16148" width="3.44140625" customWidth="1"/>
    <col min="16155" max="16155" width="3.44140625" customWidth="1"/>
  </cols>
  <sheetData>
    <row r="1" spans="1:29">
      <c r="A1" t="s">
        <v>376</v>
      </c>
      <c r="D1" s="366" t="s">
        <v>351</v>
      </c>
      <c r="E1" s="367" t="s">
        <v>377</v>
      </c>
      <c r="F1" s="367" t="s">
        <v>252</v>
      </c>
      <c r="H1" t="s">
        <v>375</v>
      </c>
      <c r="I1" s="163"/>
    </row>
    <row r="2" spans="1:29">
      <c r="A2" s="5" t="s">
        <v>336</v>
      </c>
      <c r="B2" s="133"/>
      <c r="D2" s="133" t="s">
        <v>352</v>
      </c>
      <c r="E2" s="133">
        <v>0</v>
      </c>
      <c r="F2" s="133">
        <v>2.88</v>
      </c>
      <c r="H2" s="133">
        <v>15</v>
      </c>
      <c r="I2" s="133">
        <v>0</v>
      </c>
    </row>
    <row r="3" spans="1:29">
      <c r="A3" s="5" t="s">
        <v>337</v>
      </c>
      <c r="B3" s="133">
        <v>28.5</v>
      </c>
      <c r="D3" s="133" t="s">
        <v>353</v>
      </c>
      <c r="E3" s="133">
        <v>1</v>
      </c>
      <c r="F3" s="133">
        <v>3.85</v>
      </c>
      <c r="H3" s="133">
        <v>20</v>
      </c>
      <c r="I3" s="133">
        <v>1</v>
      </c>
    </row>
    <row r="4" spans="1:29">
      <c r="A4" s="356" t="s">
        <v>338</v>
      </c>
      <c r="B4" s="133">
        <v>43</v>
      </c>
      <c r="D4" s="133" t="s">
        <v>354</v>
      </c>
      <c r="E4" s="133">
        <v>2</v>
      </c>
      <c r="F4" s="133">
        <v>4.5</v>
      </c>
      <c r="H4" s="133">
        <v>25</v>
      </c>
      <c r="I4" s="133">
        <v>2</v>
      </c>
    </row>
    <row r="5" spans="1:29">
      <c r="D5" s="133" t="s">
        <v>355</v>
      </c>
      <c r="E5" s="133">
        <v>3</v>
      </c>
      <c r="F5" s="133">
        <v>4.41</v>
      </c>
      <c r="H5" s="133">
        <v>30</v>
      </c>
      <c r="I5" s="133">
        <v>3</v>
      </c>
    </row>
    <row r="6" spans="1:29">
      <c r="A6" t="s">
        <v>367</v>
      </c>
      <c r="D6" s="133" t="s">
        <v>356</v>
      </c>
      <c r="E6" s="133">
        <v>4</v>
      </c>
      <c r="F6" s="133">
        <v>5.51</v>
      </c>
      <c r="H6" s="133">
        <v>35</v>
      </c>
      <c r="I6" s="133">
        <v>4</v>
      </c>
    </row>
    <row r="7" spans="1:29">
      <c r="A7" s="5" t="s">
        <v>21</v>
      </c>
      <c r="B7" s="133">
        <v>7</v>
      </c>
      <c r="D7" s="133" t="s">
        <v>357</v>
      </c>
      <c r="E7" s="133">
        <v>5</v>
      </c>
      <c r="F7" s="133">
        <v>6.03</v>
      </c>
      <c r="H7" s="133">
        <v>40</v>
      </c>
      <c r="I7" s="133">
        <v>5</v>
      </c>
    </row>
    <row r="8" spans="1:29">
      <c r="A8" s="5" t="s">
        <v>20</v>
      </c>
      <c r="B8" s="133">
        <v>0</v>
      </c>
      <c r="D8" s="133" t="s">
        <v>358</v>
      </c>
      <c r="E8" s="133">
        <v>6</v>
      </c>
      <c r="F8" s="133">
        <v>7.85</v>
      </c>
      <c r="H8" s="133">
        <v>45</v>
      </c>
      <c r="I8" s="133">
        <v>6</v>
      </c>
    </row>
    <row r="9" spans="1:29">
      <c r="D9" s="133" t="s">
        <v>359</v>
      </c>
      <c r="E9" s="133">
        <v>7</v>
      </c>
      <c r="F9" s="133">
        <v>7.69</v>
      </c>
      <c r="H9" s="365">
        <v>50</v>
      </c>
      <c r="I9" s="133">
        <v>6</v>
      </c>
    </row>
    <row r="10" spans="1:29">
      <c r="D10" s="133" t="s">
        <v>360</v>
      </c>
      <c r="E10" s="133">
        <v>8</v>
      </c>
      <c r="F10" s="133">
        <v>7.49</v>
      </c>
      <c r="H10" s="365">
        <v>55</v>
      </c>
      <c r="I10" s="133">
        <v>6</v>
      </c>
    </row>
    <row r="11" spans="1:29" ht="15" thickBot="1"/>
    <row r="12" spans="1:29" ht="16.2" thickBot="1">
      <c r="I12" s="343"/>
      <c r="J12" s="344" t="s">
        <v>339</v>
      </c>
      <c r="K12" s="345" t="s">
        <v>340</v>
      </c>
      <c r="L12" s="346"/>
      <c r="M12" s="344" t="s">
        <v>339</v>
      </c>
      <c r="N12" s="345" t="s">
        <v>340</v>
      </c>
      <c r="Q12" s="347"/>
      <c r="R12" s="344" t="s">
        <v>339</v>
      </c>
      <c r="S12" s="345" t="s">
        <v>340</v>
      </c>
      <c r="T12" s="348"/>
      <c r="U12" s="344" t="s">
        <v>339</v>
      </c>
      <c r="V12" s="345" t="s">
        <v>340</v>
      </c>
      <c r="X12" s="347"/>
      <c r="Y12" s="344" t="s">
        <v>339</v>
      </c>
      <c r="Z12" s="345" t="s">
        <v>340</v>
      </c>
      <c r="AA12" s="348"/>
      <c r="AB12" s="344" t="s">
        <v>339</v>
      </c>
      <c r="AC12" s="345" t="s">
        <v>340</v>
      </c>
    </row>
    <row r="13" spans="1:29" ht="16.2" thickBot="1">
      <c r="I13" s="370"/>
      <c r="J13" s="371" t="s">
        <v>341</v>
      </c>
      <c r="K13" s="372" t="s">
        <v>342</v>
      </c>
      <c r="L13" s="373"/>
      <c r="M13" s="371" t="s">
        <v>341</v>
      </c>
      <c r="N13" s="372" t="s">
        <v>342</v>
      </c>
      <c r="Q13" s="370"/>
      <c r="R13" s="371" t="s">
        <v>341</v>
      </c>
      <c r="S13" s="372" t="s">
        <v>342</v>
      </c>
      <c r="T13" s="373"/>
      <c r="U13" s="371" t="s">
        <v>341</v>
      </c>
      <c r="V13" s="372" t="s">
        <v>342</v>
      </c>
      <c r="X13" s="370"/>
      <c r="Y13" s="371" t="s">
        <v>341</v>
      </c>
      <c r="Z13" s="372" t="s">
        <v>342</v>
      </c>
      <c r="AA13" s="373"/>
      <c r="AB13" s="371" t="s">
        <v>341</v>
      </c>
      <c r="AC13" s="372" t="s">
        <v>342</v>
      </c>
    </row>
    <row r="14" spans="1:29" ht="16.2" thickBot="1">
      <c r="I14" s="377"/>
      <c r="J14" s="346"/>
      <c r="K14" s="378"/>
      <c r="L14" s="346"/>
      <c r="M14" s="346"/>
      <c r="N14" s="378"/>
      <c r="O14" s="129"/>
      <c r="P14" s="129"/>
      <c r="Q14" s="377"/>
      <c r="R14" s="346"/>
      <c r="S14" s="378"/>
      <c r="T14" s="346"/>
      <c r="U14" s="346"/>
      <c r="V14" s="378"/>
      <c r="W14" s="129"/>
      <c r="X14" s="377"/>
      <c r="Y14" s="346"/>
      <c r="Z14" s="378"/>
      <c r="AA14" s="346"/>
      <c r="AB14" s="346"/>
      <c r="AC14" s="378"/>
    </row>
    <row r="15" spans="1:29">
      <c r="A15" s="5" t="s">
        <v>258</v>
      </c>
      <c r="B15" s="133" t="s">
        <v>352</v>
      </c>
      <c r="I15" s="374"/>
      <c r="J15" s="375">
        <f>INDEX($Q$15:$AC$266,$T15+28*VLOOKUP($B$15,$D$2:$F$10,2,FALSE),2+VLOOKUP($B$16,$A$7:$B$8,2,FALSE))</f>
        <v>15</v>
      </c>
      <c r="K15" s="376">
        <f>INDEX($Q$15:$AC$266,$T15+28*VLOOKUP($B$15,$D$2:$F$10,2,FALSE),3+VLOOKUP($B$16,$A$7:$B$8,2,FALSE))</f>
        <v>30</v>
      </c>
      <c r="L15" s="367"/>
      <c r="M15" s="375">
        <f>INDEX($Q$15:$AC$266,$T15+28*VLOOKUP($B$15,$D$2:$F$10,2,FALSE),5+VLOOKUP($B$16,$A$7:$B$8,2,FALSE))</f>
        <v>16</v>
      </c>
      <c r="N15" s="376">
        <f>INDEX($Q$15:$AC$266,$T15+28*VLOOKUP($B$15,$D$2:$F$10,2,FALSE),6+VLOOKUP($B$16,$A$7:$B$8,2,FALSE))</f>
        <v>100</v>
      </c>
      <c r="O15" s="163"/>
      <c r="P15" t="s">
        <v>344</v>
      </c>
      <c r="Q15" s="374"/>
      <c r="R15" s="375">
        <v>15</v>
      </c>
      <c r="S15" s="376">
        <v>30</v>
      </c>
      <c r="T15" s="352">
        <v>1</v>
      </c>
      <c r="U15" s="375">
        <v>16</v>
      </c>
      <c r="V15" s="376">
        <v>100</v>
      </c>
      <c r="X15" s="374"/>
      <c r="Y15" s="375">
        <v>15</v>
      </c>
      <c r="Z15" s="376">
        <v>30</v>
      </c>
      <c r="AA15" s="352">
        <v>1</v>
      </c>
      <c r="AB15" s="375">
        <v>15</v>
      </c>
      <c r="AC15" s="376">
        <v>100</v>
      </c>
    </row>
    <row r="16" spans="1:29">
      <c r="A16" s="5" t="s">
        <v>343</v>
      </c>
      <c r="B16" s="133" t="s">
        <v>20</v>
      </c>
      <c r="I16" s="349">
        <f>INDEX($Q$15:$V$266,$T16+28*VLOOKUP($B$15,$D$2:$F$10,2,FALSE),1)</f>
        <v>720</v>
      </c>
      <c r="J16" s="241">
        <f>INDEX($Q$15:$AC$266,$T16+28*VLOOKUP($B$15,$D$2:$F$10,2,FALSE),2+VLOOKUP($B$16,$A$7:$B$8,2,FALSE))</f>
        <v>0.42</v>
      </c>
      <c r="K16" s="240">
        <f>INDEX($Q$15:$AC$266,$T16+28*VLOOKUP($B$15,$D$2:$F$10,2,FALSE),3+VLOOKUP($B$16,$A$7:$B$8,2,FALSE))</f>
        <v>0.42</v>
      </c>
      <c r="L16" s="350"/>
      <c r="M16" s="241">
        <f>INDEX($Q$15:$AC$266,$T16+28*VLOOKUP($B$15,$D$2:$F$10,2,FALSE),5+VLOOKUP($B$16,$A$7:$B$8,2,FALSE))</f>
        <v>0.48</v>
      </c>
      <c r="N16" s="240">
        <f>INDEX($Q$15:$AC$266,$T16+28*VLOOKUP($B$15,$D$2:$F$10,2,FALSE),6+VLOOKUP($B$16,$A$7:$B$8,2,FALSE))</f>
        <v>0.17</v>
      </c>
      <c r="O16" s="163"/>
      <c r="Q16" s="349">
        <v>720</v>
      </c>
      <c r="R16" s="241">
        <v>0.42</v>
      </c>
      <c r="S16" s="240">
        <v>0.42</v>
      </c>
      <c r="T16" s="352">
        <v>2</v>
      </c>
      <c r="U16" s="241">
        <v>0.48</v>
      </c>
      <c r="V16" s="240">
        <v>0.17</v>
      </c>
      <c r="X16" s="349">
        <v>720</v>
      </c>
      <c r="Y16" s="241">
        <v>0.83</v>
      </c>
      <c r="Z16" s="240">
        <v>0.83</v>
      </c>
      <c r="AA16" s="352">
        <v>2</v>
      </c>
      <c r="AB16" s="241">
        <v>1.27</v>
      </c>
      <c r="AC16" s="240">
        <v>0.46</v>
      </c>
    </row>
    <row r="17" spans="1:29">
      <c r="I17" s="349">
        <f>INDEX($Q$15:$V$266,$T17+28*VLOOKUP($B$15,$D$2:$F$10,2,FALSE),1)</f>
        <v>1300</v>
      </c>
      <c r="J17" s="241">
        <f>INDEX($Q$15:$AC$266,$T17+28*VLOOKUP($B$15,$D$2:$F$10,2,FALSE),2+VLOOKUP($B$16,$A$7:$B$8,2,FALSE))</f>
        <v>0.56000000000000005</v>
      </c>
      <c r="K17" s="240">
        <f>INDEX($Q$15:$AC$266,$T17+28*VLOOKUP($B$15,$D$2:$F$10,2,FALSE),3+VLOOKUP($B$16,$A$7:$B$8,2,FALSE))</f>
        <v>0.56000000000000005</v>
      </c>
      <c r="L17" s="350"/>
      <c r="M17" s="241">
        <f>INDEX($Q$15:$AC$266,$T17+28*VLOOKUP($B$15,$D$2:$F$10,2,FALSE),5+VLOOKUP($B$16,$A$7:$B$8,2,FALSE))</f>
        <v>0.57999999999999996</v>
      </c>
      <c r="N17" s="240">
        <f>INDEX($Q$15:$AC$266,$T17+28*VLOOKUP($B$15,$D$2:$F$10,2,FALSE),6+VLOOKUP($B$16,$A$7:$B$8,2,FALSE))</f>
        <v>0.17</v>
      </c>
      <c r="O17" s="163"/>
      <c r="Q17" s="349">
        <v>1300</v>
      </c>
      <c r="R17" s="241">
        <v>0.56000000000000005</v>
      </c>
      <c r="S17" s="240">
        <v>0.56000000000000005</v>
      </c>
      <c r="T17" s="352">
        <v>3</v>
      </c>
      <c r="U17" s="241">
        <v>0.57999999999999996</v>
      </c>
      <c r="V17" s="240">
        <v>0.17</v>
      </c>
      <c r="X17" s="349">
        <v>1300</v>
      </c>
      <c r="Y17" s="241">
        <v>1.1100000000000001</v>
      </c>
      <c r="Z17" s="240">
        <v>1.1100000000000001</v>
      </c>
      <c r="AA17" s="352">
        <v>3</v>
      </c>
      <c r="AB17" s="241">
        <v>1.58</v>
      </c>
      <c r="AC17" s="240">
        <v>0.61</v>
      </c>
    </row>
    <row r="18" spans="1:29">
      <c r="A18" s="368" t="s">
        <v>341</v>
      </c>
      <c r="B18" s="133">
        <f>ROUND(C30+(F30-C30)/(G27-D27)*(B4-D27),2)</f>
        <v>1.59</v>
      </c>
      <c r="I18" s="349">
        <f>$B$2</f>
        <v>0</v>
      </c>
      <c r="J18" s="241">
        <f>ROUND(J16+(J17-J16)/($I17-$I16)*($I18-$I16),2)</f>
        <v>0.25</v>
      </c>
      <c r="K18" s="240">
        <f>ROUND(K16+(K17-K16)/($I17-$I16)*($I18-$I16),2)</f>
        <v>0.25</v>
      </c>
      <c r="L18" s="350"/>
      <c r="M18" s="241">
        <f>ROUND(M16+(M17-M16)/($I17-$I16)*($I18-$I16),2)</f>
        <v>0.36</v>
      </c>
      <c r="N18" s="240">
        <f>ROUND(N16+(N17-N16)/($I17-$I16)*($I18-$I16),2)</f>
        <v>0.17</v>
      </c>
      <c r="O18" s="163"/>
      <c r="Q18" s="349"/>
      <c r="R18" s="241"/>
      <c r="S18" s="240"/>
      <c r="T18" s="352">
        <v>4</v>
      </c>
      <c r="U18" s="241"/>
      <c r="V18" s="240"/>
      <c r="X18" s="349"/>
      <c r="Y18" s="241"/>
      <c r="Z18" s="240"/>
      <c r="AA18" s="352">
        <v>4</v>
      </c>
      <c r="AB18" s="241"/>
      <c r="AC18" s="240"/>
    </row>
    <row r="19" spans="1:29">
      <c r="A19" s="368" t="s">
        <v>345</v>
      </c>
      <c r="B19" s="133">
        <f>ROUND(D30+(G30-D30)/(G27-D27)*(B4-D27),2)</f>
        <v>0.99</v>
      </c>
      <c r="I19" s="349"/>
      <c r="J19" s="241">
        <f>INDEX($Q$15:$AC$266,$T19+28*VLOOKUP($B$15,$D$2:$F$10,2,FALSE),2+VLOOKUP($B$16,$A$7:$B$8,2,FALSE))</f>
        <v>20</v>
      </c>
      <c r="K19" s="240">
        <f>INDEX($Q$15:$AC$266,$T19+28*VLOOKUP($B$15,$D$2:$F$10,2,FALSE),3+VLOOKUP($B$16,$A$7:$B$8,2,FALSE))</f>
        <v>20</v>
      </c>
      <c r="L19" s="350"/>
      <c r="M19" s="241">
        <f>INDEX($Q$15:$AC$266,$T19+28*VLOOKUP($B$15,$D$2:$F$10,2,FALSE),5+VLOOKUP($B$16,$A$7:$B$8,2,FALSE))</f>
        <v>20</v>
      </c>
      <c r="N19" s="240">
        <f>INDEX($Q$15:$AC$266,$T19+28*VLOOKUP($B$15,$D$2:$F$10,2,FALSE),6+VLOOKUP($B$16,$A$7:$B$8,2,FALSE))</f>
        <v>100</v>
      </c>
      <c r="O19" s="163"/>
      <c r="Q19" s="349"/>
      <c r="R19" s="241">
        <v>20</v>
      </c>
      <c r="S19" s="240">
        <v>20</v>
      </c>
      <c r="T19" s="352">
        <v>5</v>
      </c>
      <c r="U19" s="241">
        <v>20</v>
      </c>
      <c r="V19" s="240">
        <v>100</v>
      </c>
      <c r="X19" s="349"/>
      <c r="Y19" s="241">
        <v>20</v>
      </c>
      <c r="Z19" s="240">
        <v>20</v>
      </c>
      <c r="AA19" s="352">
        <v>5</v>
      </c>
      <c r="AB19" s="241">
        <v>20</v>
      </c>
      <c r="AC19" s="240">
        <v>100</v>
      </c>
    </row>
    <row r="20" spans="1:29" ht="15.6">
      <c r="A20" s="369" t="s">
        <v>346</v>
      </c>
      <c r="B20" s="133" t="e">
        <f>ROUND(B19/(0.335*(B2/1000)),1)</f>
        <v>#DIV/0!</v>
      </c>
      <c r="I20" s="349">
        <f>INDEX($Q$15:$V$266,$T20+28*VLOOKUP($B$15,$D$2:$F$10,2,FALSE),1)</f>
        <v>720</v>
      </c>
      <c r="J20" s="241">
        <f>INDEX($Q$15:$AC$266,$T20+28*VLOOKUP($B$15,$D$2:$F$10,2,FALSE),2+VLOOKUP($B$16,$A$7:$B$8,2,FALSE))</f>
        <v>1.23</v>
      </c>
      <c r="K20" s="240">
        <f>INDEX($Q$15:$AC$266,$T20+28*VLOOKUP($B$15,$D$2:$F$10,2,FALSE),3+VLOOKUP($B$16,$A$7:$B$8,2,FALSE))</f>
        <v>1.23</v>
      </c>
      <c r="L20" s="350"/>
      <c r="M20" s="241">
        <f>INDEX($Q$15:$AC$266,$T20+28*VLOOKUP($B$15,$D$2:$F$10,2,FALSE),5+VLOOKUP($B$16,$A$7:$B$8,2,FALSE))</f>
        <v>2.2799999999999998</v>
      </c>
      <c r="N20" s="240">
        <f>INDEX($Q$15:$AC$266,$T20+28*VLOOKUP($B$15,$D$2:$F$10,2,FALSE),6+VLOOKUP($B$16,$A$7:$B$8,2,FALSE))</f>
        <v>0.7</v>
      </c>
      <c r="O20" s="163"/>
      <c r="Q20" s="349">
        <v>720</v>
      </c>
      <c r="R20" s="241">
        <v>1.23</v>
      </c>
      <c r="S20" s="240">
        <v>1.23</v>
      </c>
      <c r="T20" s="352">
        <v>6</v>
      </c>
      <c r="U20" s="241">
        <v>2.2799999999999998</v>
      </c>
      <c r="V20" s="240">
        <v>0.7</v>
      </c>
      <c r="X20" s="349">
        <v>720</v>
      </c>
      <c r="Y20" s="241">
        <v>1.52</v>
      </c>
      <c r="Z20" s="240">
        <v>1.52</v>
      </c>
      <c r="AA20" s="352">
        <v>6</v>
      </c>
      <c r="AB20" s="241">
        <v>2.9</v>
      </c>
      <c r="AC20" s="240">
        <v>0.94</v>
      </c>
    </row>
    <row r="21" spans="1:29">
      <c r="A21" s="368" t="s">
        <v>347</v>
      </c>
      <c r="B21" s="133" t="e">
        <f>B3-B20</f>
        <v>#DIV/0!</v>
      </c>
      <c r="I21" s="349">
        <f>INDEX($Q$15:$V$266,$T21+28*VLOOKUP($B$15,$D$2:$F$10,2,FALSE),1)</f>
        <v>1300</v>
      </c>
      <c r="J21" s="241">
        <f>INDEX($Q$15:$AC$266,$T21+28*VLOOKUP($B$15,$D$2:$F$10,2,FALSE),2+VLOOKUP($B$16,$A$7:$B$8,2,FALSE))</f>
        <v>1.73</v>
      </c>
      <c r="K21" s="240">
        <f>INDEX($Q$15:$AC$266,$T21+28*VLOOKUP($B$15,$D$2:$F$10,2,FALSE),3+VLOOKUP($B$16,$A$7:$B$8,2,FALSE))</f>
        <v>1.73</v>
      </c>
      <c r="L21" s="350"/>
      <c r="M21" s="241">
        <f>INDEX($Q$15:$AC$266,$T21+28*VLOOKUP($B$15,$D$2:$F$10,2,FALSE),5+VLOOKUP($B$16,$A$7:$B$8,2,FALSE))</f>
        <v>3.09</v>
      </c>
      <c r="N21" s="240">
        <f>INDEX($Q$15:$AC$266,$T21+28*VLOOKUP($B$15,$D$2:$F$10,2,FALSE),6+VLOOKUP($B$16,$A$7:$B$8,2,FALSE))</f>
        <v>0.91</v>
      </c>
      <c r="O21" s="163"/>
      <c r="Q21" s="349">
        <v>1300</v>
      </c>
      <c r="R21" s="241">
        <v>1.73</v>
      </c>
      <c r="S21" s="240">
        <v>1.73</v>
      </c>
      <c r="T21" s="352">
        <v>7</v>
      </c>
      <c r="U21" s="241">
        <v>3.09</v>
      </c>
      <c r="V21" s="240">
        <v>0.91</v>
      </c>
      <c r="X21" s="349">
        <v>1300</v>
      </c>
      <c r="Y21" s="241">
        <v>2.04</v>
      </c>
      <c r="Z21" s="240">
        <v>2.04</v>
      </c>
      <c r="AA21" s="352">
        <v>7</v>
      </c>
      <c r="AB21" s="241">
        <v>3.61</v>
      </c>
      <c r="AC21" s="240">
        <v>1.08</v>
      </c>
    </row>
    <row r="22" spans="1:29" ht="16.2">
      <c r="A22" s="368" t="s">
        <v>348</v>
      </c>
      <c r="B22" s="133">
        <f>ROUND(B18/(4183*5/3600),2)</f>
        <v>0.27</v>
      </c>
      <c r="I22" s="349">
        <f>$B$2</f>
        <v>0</v>
      </c>
      <c r="J22" s="241">
        <f>ROUND(J20+(J21-J20)/($I21-$I20)*($I22-$I20),2)</f>
        <v>0.61</v>
      </c>
      <c r="K22" s="240">
        <f>ROUND(K20+(K21-K20)/($I21-$I20)*($I22-$I20),2)</f>
        <v>0.61</v>
      </c>
      <c r="L22" s="350"/>
      <c r="M22" s="241">
        <f>ROUND(M20+(M21-M20)/($I21-$I20)*($I22-$I20),2)</f>
        <v>1.27</v>
      </c>
      <c r="N22" s="240">
        <f>ROUND(N20+(N21-N20)/($I21-$I20)*($I22-$I20),2)</f>
        <v>0.44</v>
      </c>
      <c r="O22" s="163"/>
      <c r="Q22" s="349"/>
      <c r="R22" s="241"/>
      <c r="S22" s="240"/>
      <c r="T22" s="352">
        <v>8</v>
      </c>
      <c r="U22" s="241"/>
      <c r="V22" s="240"/>
      <c r="X22" s="349"/>
      <c r="Y22" s="241"/>
      <c r="Z22" s="240"/>
      <c r="AA22" s="352">
        <v>8</v>
      </c>
      <c r="AB22" s="241"/>
      <c r="AC22" s="240"/>
    </row>
    <row r="23" spans="1:29">
      <c r="A23" s="368" t="s">
        <v>349</v>
      </c>
      <c r="B23" s="133">
        <f>ROUND(100*POWER(B22/VLOOKUP(B15,D2:F10,3,FALSE),2),1)</f>
        <v>0.9</v>
      </c>
      <c r="I23" s="349"/>
      <c r="J23" s="241">
        <f>INDEX($Q$15:$AC$266,$T23+28*VLOOKUP($B$15,$D$2:$F$10,2,FALSE),2+VLOOKUP($B$16,$A$7:$B$8,2,FALSE))</f>
        <v>25</v>
      </c>
      <c r="K23" s="240">
        <f>INDEX($Q$15:$AC$266,$T23+28*VLOOKUP($B$15,$D$2:$F$10,2,FALSE),3+VLOOKUP($B$16,$A$7:$B$8,2,FALSE))</f>
        <v>15</v>
      </c>
      <c r="L23" s="350"/>
      <c r="M23" s="241">
        <f>INDEX($Q$15:$AC$266,$T23+28*VLOOKUP($B$15,$D$2:$F$10,2,FALSE),5+VLOOKUP($B$16,$A$7:$B$8,2,FALSE))</f>
        <v>25</v>
      </c>
      <c r="N23" s="240">
        <f>INDEX($Q$15:$AC$266,$T23+28*VLOOKUP($B$15,$D$2:$F$10,2,FALSE),6+VLOOKUP($B$16,$A$7:$B$8,2,FALSE))</f>
        <v>73</v>
      </c>
      <c r="O23" s="163"/>
      <c r="Q23" s="349"/>
      <c r="R23" s="241">
        <v>25</v>
      </c>
      <c r="S23" s="240">
        <v>15</v>
      </c>
      <c r="T23" s="352">
        <v>9</v>
      </c>
      <c r="U23" s="241">
        <v>25</v>
      </c>
      <c r="V23" s="240">
        <v>73</v>
      </c>
      <c r="X23" s="349"/>
      <c r="Y23" s="241">
        <v>25</v>
      </c>
      <c r="Z23" s="240">
        <v>15</v>
      </c>
      <c r="AA23" s="352">
        <v>9</v>
      </c>
      <c r="AB23" s="241">
        <v>25</v>
      </c>
      <c r="AC23" s="240">
        <v>73</v>
      </c>
    </row>
    <row r="24" spans="1:29">
      <c r="A24" s="368" t="s">
        <v>350</v>
      </c>
      <c r="B24" s="133">
        <f>ROUND(B18*3600/165,0)</f>
        <v>35</v>
      </c>
      <c r="I24" s="349">
        <f>INDEX($Q$15:$V$266,$T24+28*VLOOKUP($B$15,$D$2:$F$10,2,FALSE),1)</f>
        <v>720</v>
      </c>
      <c r="J24" s="241">
        <f>INDEX($Q$15:$AC$266,$T24+28*VLOOKUP($B$15,$D$2:$F$10,2,FALSE),2+VLOOKUP($B$16,$A$7:$B$8,2,FALSE))</f>
        <v>2.04</v>
      </c>
      <c r="K24" s="240">
        <f>INDEX($Q$15:$AC$266,$T24+28*VLOOKUP($B$15,$D$2:$F$10,2,FALSE),3+VLOOKUP($B$16,$A$7:$B$8,2,FALSE))</f>
        <v>2.04</v>
      </c>
      <c r="L24" s="350"/>
      <c r="M24" s="241">
        <f>INDEX($Q$15:$AC$266,$T24+28*VLOOKUP($B$15,$D$2:$F$10,2,FALSE),5+VLOOKUP($B$16,$A$7:$B$8,2,FALSE))</f>
        <v>2.99</v>
      </c>
      <c r="N24" s="240">
        <f>INDEX($Q$15:$AC$266,$T24+28*VLOOKUP($B$15,$D$2:$F$10,2,FALSE),6+VLOOKUP($B$16,$A$7:$B$8,2,FALSE))</f>
        <v>1.64</v>
      </c>
      <c r="O24" s="163"/>
      <c r="Q24" s="349">
        <v>720</v>
      </c>
      <c r="R24" s="241">
        <v>2.04</v>
      </c>
      <c r="S24" s="240">
        <v>2.04</v>
      </c>
      <c r="T24" s="352">
        <v>10</v>
      </c>
      <c r="U24" s="241">
        <v>2.99</v>
      </c>
      <c r="V24" s="240">
        <v>1.64</v>
      </c>
      <c r="X24" s="349">
        <v>720</v>
      </c>
      <c r="Y24" s="241">
        <v>2.1800000000000002</v>
      </c>
      <c r="Z24" s="240">
        <v>2.1800000000000002</v>
      </c>
      <c r="AA24" s="352">
        <v>10</v>
      </c>
      <c r="AB24" s="241">
        <v>3.36</v>
      </c>
      <c r="AC24" s="240">
        <v>1.69</v>
      </c>
    </row>
    <row r="25" spans="1:29">
      <c r="I25" s="349">
        <f>INDEX($Q$15:$V$266,$T25+28*VLOOKUP($B$15,$D$2:$F$10,2,FALSE),1)</f>
        <v>1300</v>
      </c>
      <c r="J25" s="241">
        <f>INDEX($Q$15:$AC$266,$T25+28*VLOOKUP($B$15,$D$2:$F$10,2,FALSE),2+VLOOKUP($B$16,$A$7:$B$8,2,FALSE))</f>
        <v>2.92</v>
      </c>
      <c r="K25" s="240">
        <f>INDEX($Q$15:$AC$266,$T25+28*VLOOKUP($B$15,$D$2:$F$10,2,FALSE),3+VLOOKUP($B$16,$A$7:$B$8,2,FALSE))</f>
        <v>2.92</v>
      </c>
      <c r="L25" s="350"/>
      <c r="M25" s="241">
        <f>INDEX($Q$15:$AC$266,$T25+28*VLOOKUP($B$15,$D$2:$F$10,2,FALSE),5+VLOOKUP($B$16,$A$7:$B$8,2,FALSE))</f>
        <v>4.1399999999999997</v>
      </c>
      <c r="N25" s="240">
        <f>INDEX($Q$15:$AC$266,$T25+28*VLOOKUP($B$15,$D$2:$F$10,2,FALSE),6+VLOOKUP($B$16,$A$7:$B$8,2,FALSE))</f>
        <v>2.35</v>
      </c>
      <c r="O25" s="163"/>
      <c r="Q25" s="349">
        <v>1300</v>
      </c>
      <c r="R25" s="241">
        <v>2.92</v>
      </c>
      <c r="S25" s="240">
        <v>2.92</v>
      </c>
      <c r="T25" s="352">
        <v>11</v>
      </c>
      <c r="U25" s="241">
        <v>4.1399999999999997</v>
      </c>
      <c r="V25" s="240">
        <v>2.35</v>
      </c>
      <c r="X25" s="349">
        <v>1300</v>
      </c>
      <c r="Y25" s="241">
        <v>2.92</v>
      </c>
      <c r="Z25" s="240">
        <v>2.92</v>
      </c>
      <c r="AA25" s="352">
        <v>11</v>
      </c>
      <c r="AB25" s="241">
        <v>4.17</v>
      </c>
      <c r="AC25" s="240">
        <v>2.35</v>
      </c>
    </row>
    <row r="26" spans="1:29">
      <c r="B26"/>
      <c r="C26"/>
      <c r="D26" s="356" t="s">
        <v>362</v>
      </c>
      <c r="G26" s="356" t="s">
        <v>363</v>
      </c>
      <c r="I26" s="349">
        <f>$B$2</f>
        <v>0</v>
      </c>
      <c r="J26" s="241">
        <f>ROUND(J24+(J25-J24)/($I25-$I24)*($I26-$I24),2)</f>
        <v>0.95</v>
      </c>
      <c r="K26" s="240">
        <f>ROUND(K24+(K25-K24)/($I25-$I24)*($I26-$I24),2)</f>
        <v>0.95</v>
      </c>
      <c r="L26" s="350"/>
      <c r="M26" s="241">
        <f>ROUND(M24+(M25-M24)/($I25-$I24)*($I26-$I24),2)</f>
        <v>1.56</v>
      </c>
      <c r="N26" s="240">
        <f>ROUND(N24+(N25-N24)/($I25-$I24)*($I26-$I24),2)</f>
        <v>0.76</v>
      </c>
      <c r="O26" s="163"/>
      <c r="Q26" s="349"/>
      <c r="R26" s="241"/>
      <c r="S26" s="240"/>
      <c r="T26" s="352">
        <v>12</v>
      </c>
      <c r="U26" s="241"/>
      <c r="V26" s="240"/>
      <c r="X26" s="349"/>
      <c r="Y26" s="241"/>
      <c r="Z26" s="240"/>
      <c r="AA26" s="352">
        <v>12</v>
      </c>
      <c r="AB26" s="241"/>
      <c r="AC26" s="240"/>
    </row>
    <row r="27" spans="1:29">
      <c r="D27" s="133">
        <f>INDEX($J$15:$N$42,1+VLOOKUP($B$3,$H$2:$I$10,2)*4,2)+(INDEX($J$15:$N$42,1+VLOOKUP($B$3+5,$H$2:$I$10,2)*4,2) - INDEX($J$15:$N$42,1+VLOOKUP($B$3,$H$2:$I$10,2)*4,2))/($B29-$B28)*($B30-$B28)</f>
        <v>12.9</v>
      </c>
      <c r="E27" s="163"/>
      <c r="F27" s="163"/>
      <c r="G27" s="133">
        <f>INDEX($J$15:$N$42,1+VLOOKUP($B$3,$H$2:$I$10,2)*4,5)+(INDEX($J$15:$N$42,1+VLOOKUP($B$3+5,$H$2:$I$10,2)*4,5) - INDEX($J$15:$N$42,1+VLOOKUP($B$3,$H$2:$I$10,2)*4,5))/($B29-$B28)*($B30-$B28)</f>
        <v>61.1</v>
      </c>
      <c r="I27" s="349"/>
      <c r="J27" s="241">
        <f>INDEX($Q$15:$AC$266,$T27+28*VLOOKUP($B$15,$D$2:$F$10,2,FALSE),2+VLOOKUP($B$16,$A$7:$B$8,2,FALSE))</f>
        <v>30</v>
      </c>
      <c r="K27" s="240">
        <f>INDEX($Q$15:$AC$266,$T27+28*VLOOKUP($B$15,$D$2:$F$10,2,FALSE),3+VLOOKUP($B$16,$A$7:$B$8,2,FALSE))</f>
        <v>12</v>
      </c>
      <c r="L27" s="350"/>
      <c r="M27" s="241">
        <f>INDEX($Q$15:$AC$266,$T27+28*VLOOKUP($B$15,$D$2:$F$10,2,FALSE),5+VLOOKUP($B$16,$A$7:$B$8,2,FALSE))</f>
        <v>30</v>
      </c>
      <c r="N27" s="240">
        <f>INDEX($Q$15:$AC$266,$T27+28*VLOOKUP($B$15,$D$2:$F$10,2,FALSE),6+VLOOKUP($B$16,$A$7:$B$8,2,FALSE))</f>
        <v>56</v>
      </c>
      <c r="O27" s="163"/>
      <c r="Q27" s="349"/>
      <c r="R27" s="241">
        <v>30</v>
      </c>
      <c r="S27" s="240">
        <v>12</v>
      </c>
      <c r="T27" s="352">
        <v>13</v>
      </c>
      <c r="U27" s="241">
        <v>30</v>
      </c>
      <c r="V27" s="240">
        <v>56</v>
      </c>
      <c r="X27" s="349"/>
      <c r="Y27" s="241">
        <v>30</v>
      </c>
      <c r="Z27" s="240">
        <v>12</v>
      </c>
      <c r="AA27" s="352">
        <v>13</v>
      </c>
      <c r="AB27" s="241">
        <v>30</v>
      </c>
      <c r="AC27" s="240">
        <v>56</v>
      </c>
    </row>
    <row r="28" spans="1:29">
      <c r="A28" s="5" t="s">
        <v>364</v>
      </c>
      <c r="B28" s="133">
        <f>VLOOKUP($B$3,$H$2:$I$10,1)</f>
        <v>25</v>
      </c>
      <c r="C28" s="357">
        <f>INDEX($J$15:$N$42,4+VLOOKUP($B$3,$H$2:$I$10,2)*4,1)</f>
        <v>0.95</v>
      </c>
      <c r="D28" s="133">
        <f>INDEX($J$15:$N$42,4+VLOOKUP($B$3,$H$2:$I$10,2)*4,2)</f>
        <v>0.95</v>
      </c>
      <c r="E28" s="358"/>
      <c r="F28" s="357">
        <f>INDEX($J$15:$N$42,4+VLOOKUP($B$3,$H$2:$I$10,2)*4,4)</f>
        <v>1.56</v>
      </c>
      <c r="G28" s="133">
        <f>INDEX($J$15:$N$42,4+VLOOKUP($B$3,$H$2:$I$10,2)*4,5)</f>
        <v>0.76</v>
      </c>
      <c r="I28" s="349">
        <f>INDEX($Q$15:$V$266,$T28+28*VLOOKUP($B$15,$D$2:$F$10,2,FALSE),1)</f>
        <v>720</v>
      </c>
      <c r="J28" s="241">
        <f>INDEX($Q$15:$AC$266,$T28+28*VLOOKUP($B$15,$D$2:$F$10,2,FALSE),2+VLOOKUP($B$16,$A$7:$B$8,2,FALSE))</f>
        <v>2.84</v>
      </c>
      <c r="K28" s="240">
        <f>INDEX($Q$15:$AC$266,$T28+28*VLOOKUP($B$15,$D$2:$F$10,2,FALSE),3+VLOOKUP($B$16,$A$7:$B$8,2,FALSE))</f>
        <v>2.84</v>
      </c>
      <c r="L28" s="350"/>
      <c r="M28" s="241">
        <f>INDEX($Q$15:$AC$266,$T28+28*VLOOKUP($B$15,$D$2:$F$10,2,FALSE),5+VLOOKUP($B$16,$A$7:$B$8,2,FALSE))</f>
        <v>3.95</v>
      </c>
      <c r="N28" s="240">
        <f>INDEX($Q$15:$AC$266,$T28+28*VLOOKUP($B$15,$D$2:$F$10,2,FALSE),6+VLOOKUP($B$16,$A$7:$B$8,2,FALSE))</f>
        <v>2.48</v>
      </c>
      <c r="O28" s="163"/>
      <c r="Q28" s="349">
        <v>720</v>
      </c>
      <c r="R28" s="241">
        <v>2.84</v>
      </c>
      <c r="S28" s="240">
        <v>2.84</v>
      </c>
      <c r="T28" s="352">
        <v>14</v>
      </c>
      <c r="U28" s="241">
        <v>3.95</v>
      </c>
      <c r="V28" s="240">
        <v>2.48</v>
      </c>
      <c r="X28" s="349">
        <v>720</v>
      </c>
      <c r="Y28" s="241">
        <v>2.82</v>
      </c>
      <c r="Z28" s="240">
        <v>2.82</v>
      </c>
      <c r="AA28" s="352">
        <v>14</v>
      </c>
      <c r="AB28" s="241">
        <v>3.94</v>
      </c>
      <c r="AC28" s="240">
        <v>2.4500000000000002</v>
      </c>
    </row>
    <row r="29" spans="1:29">
      <c r="A29" s="5" t="s">
        <v>365</v>
      </c>
      <c r="B29" s="133">
        <f>VLOOKUP($B$3+5,$H$2:$I$10,1)</f>
        <v>30</v>
      </c>
      <c r="C29" s="357">
        <f>INDEX($J$15:$N$42,8+VLOOKUP($B$3,$H$2:$I$10,2)*4,1)</f>
        <v>1.24</v>
      </c>
      <c r="D29" s="133">
        <f>INDEX($J$15:$N$42,8+VLOOKUP($B$3,$H$2:$I$10,2)*4,2)</f>
        <v>1.24</v>
      </c>
      <c r="E29" s="358"/>
      <c r="F29" s="357">
        <f>INDEX($J$15:$N$42,8+VLOOKUP($B$3,$H$2:$I$10,2)*4,4)</f>
        <v>1.99</v>
      </c>
      <c r="G29" s="133">
        <f>INDEX($J$15:$N$42,8+VLOOKUP($B$3,$H$2:$I$10,2)*4,5)</f>
        <v>0.94</v>
      </c>
      <c r="I29" s="349">
        <f>INDEX($Q$15:$V$266,$T29+28*VLOOKUP($B$15,$D$2:$F$10,2,FALSE),1)</f>
        <v>1300</v>
      </c>
      <c r="J29" s="241">
        <f>INDEX($Q$15:$AC$266,$T29+28*VLOOKUP($B$15,$D$2:$F$10,2,FALSE),2+VLOOKUP($B$16,$A$7:$B$8,2,FALSE))</f>
        <v>4.13</v>
      </c>
      <c r="K29" s="240">
        <f>INDEX($Q$15:$AC$266,$T29+28*VLOOKUP($B$15,$D$2:$F$10,2,FALSE),3+VLOOKUP($B$16,$A$7:$B$8,2,FALSE))</f>
        <v>4.13</v>
      </c>
      <c r="L29" s="350"/>
      <c r="M29" s="241">
        <f>INDEX($Q$15:$AC$266,$T29+28*VLOOKUP($B$15,$D$2:$F$10,2,FALSE),5+VLOOKUP($B$16,$A$7:$B$8,2,FALSE))</f>
        <v>5.53</v>
      </c>
      <c r="N29" s="240">
        <f>INDEX($Q$15:$AC$266,$T29+28*VLOOKUP($B$15,$D$2:$F$10,2,FALSE),6+VLOOKUP($B$16,$A$7:$B$8,2,FALSE))</f>
        <v>3.72</v>
      </c>
      <c r="O29" s="163"/>
      <c r="Q29" s="349">
        <v>1300</v>
      </c>
      <c r="R29" s="241">
        <v>4.13</v>
      </c>
      <c r="S29" s="240">
        <v>4.13</v>
      </c>
      <c r="T29" s="352">
        <v>15</v>
      </c>
      <c r="U29" s="241">
        <v>5.53</v>
      </c>
      <c r="V29" s="240">
        <v>3.72</v>
      </c>
      <c r="X29" s="349">
        <v>1300</v>
      </c>
      <c r="Y29" s="241">
        <v>3.77</v>
      </c>
      <c r="Z29" s="240">
        <v>3.77</v>
      </c>
      <c r="AA29" s="352">
        <v>15</v>
      </c>
      <c r="AB29" s="241">
        <v>4.8600000000000003</v>
      </c>
      <c r="AC29" s="240">
        <v>3.41</v>
      </c>
    </row>
    <row r="30" spans="1:29">
      <c r="A30" s="5" t="s">
        <v>366</v>
      </c>
      <c r="B30" s="133">
        <f>B3</f>
        <v>28.5</v>
      </c>
      <c r="C30" s="357">
        <f>ROUND(C28+(C29-C28)/($B29-$B28)*($B30-$B28),2)</f>
        <v>1.1499999999999999</v>
      </c>
      <c r="D30" s="133">
        <f>ROUND(D28+(D29-D28)/($B29-$B28)*($B30-$B28),2)</f>
        <v>1.1499999999999999</v>
      </c>
      <c r="E30" s="358"/>
      <c r="F30" s="357">
        <f>ROUND(F28+(F29-F28)/($B29-$B28)*($B30-$B28),2)</f>
        <v>1.86</v>
      </c>
      <c r="G30" s="133">
        <f>ROUND(G28+(G29-G28)/($B29-$B28)*($B30-$B28),2)</f>
        <v>0.89</v>
      </c>
      <c r="I30" s="349">
        <f>$B$2</f>
        <v>0</v>
      </c>
      <c r="J30" s="241">
        <f>ROUND(J28+(J29-J28)/($I29-$I28)*($I30-$I28),2)</f>
        <v>1.24</v>
      </c>
      <c r="K30" s="240">
        <f>ROUND(K28+(K29-K28)/($I29-$I28)*($I30-$I28),2)</f>
        <v>1.24</v>
      </c>
      <c r="L30" s="350"/>
      <c r="M30" s="241">
        <f>ROUND(M28+(M29-M28)/($I29-$I28)*($I30-$I28),2)</f>
        <v>1.99</v>
      </c>
      <c r="N30" s="240">
        <f>ROUND(N28+(N29-N28)/($I29-$I28)*($I30-$I28),2)</f>
        <v>0.94</v>
      </c>
      <c r="O30" s="163"/>
      <c r="Q30" s="349"/>
      <c r="R30" s="241"/>
      <c r="S30" s="240"/>
      <c r="T30" s="352">
        <v>16</v>
      </c>
      <c r="U30" s="241"/>
      <c r="V30" s="240"/>
      <c r="X30" s="349"/>
      <c r="Y30" s="241"/>
      <c r="Z30" s="240"/>
      <c r="AA30" s="352">
        <v>16</v>
      </c>
      <c r="AB30" s="241"/>
      <c r="AC30" s="240"/>
    </row>
    <row r="31" spans="1:29">
      <c r="I31" s="349"/>
      <c r="J31" s="241">
        <f>INDEX($Q$15:$AC$266,$T31+28*VLOOKUP($B$15,$D$2:$F$10,2,FALSE),2+VLOOKUP($B$16,$A$7:$B$8,2,FALSE))</f>
        <v>35</v>
      </c>
      <c r="K31" s="240">
        <f>INDEX($Q$15:$AC$266,$T31+28*VLOOKUP($B$15,$D$2:$F$10,2,FALSE),3+VLOOKUP($B$16,$A$7:$B$8,2,FALSE))</f>
        <v>9</v>
      </c>
      <c r="L31" s="350"/>
      <c r="M31" s="241">
        <f>INDEX($Q$15:$AC$266,$T31+28*VLOOKUP($B$15,$D$2:$F$10,2,FALSE),5+VLOOKUP($B$16,$A$7:$B$8,2,FALSE))</f>
        <v>35</v>
      </c>
      <c r="N31" s="240">
        <f>INDEX($Q$15:$AC$266,$T31+28*VLOOKUP($B$15,$D$2:$F$10,2,FALSE),6+VLOOKUP($B$16,$A$7:$B$8,2,FALSE))</f>
        <v>43</v>
      </c>
      <c r="O31" s="163"/>
      <c r="Q31" s="349"/>
      <c r="R31" s="241">
        <v>35</v>
      </c>
      <c r="S31" s="240">
        <v>9</v>
      </c>
      <c r="T31" s="352">
        <v>17</v>
      </c>
      <c r="U31" s="241">
        <v>35</v>
      </c>
      <c r="V31" s="240">
        <v>43</v>
      </c>
      <c r="X31" s="349"/>
      <c r="Y31" s="241">
        <v>35</v>
      </c>
      <c r="Z31" s="240">
        <v>9</v>
      </c>
      <c r="AA31" s="352">
        <v>17</v>
      </c>
      <c r="AB31" s="241">
        <v>35</v>
      </c>
      <c r="AC31" s="240">
        <v>48</v>
      </c>
    </row>
    <row r="32" spans="1:29">
      <c r="I32" s="349">
        <f>INDEX($Q$15:$V$266,$T32+28*VLOOKUP($B$15,$D$2:$F$10,2,FALSE),1)</f>
        <v>720</v>
      </c>
      <c r="J32" s="241">
        <f>INDEX($Q$15:$AC$266,$T32+28*VLOOKUP($B$15,$D$2:$F$10,2,FALSE),2+VLOOKUP($B$16,$A$7:$B$8,2,FALSE))</f>
        <v>3.66</v>
      </c>
      <c r="K32" s="240">
        <f>INDEX($Q$15:$AC$266,$T32+28*VLOOKUP($B$15,$D$2:$F$10,2,FALSE),3+VLOOKUP($B$16,$A$7:$B$8,2,FALSE))</f>
        <v>3.66</v>
      </c>
      <c r="L32" s="350"/>
      <c r="M32" s="241">
        <f>INDEX($Q$15:$AC$266,$T32+28*VLOOKUP($B$15,$D$2:$F$10,2,FALSE),5+VLOOKUP($B$16,$A$7:$B$8,2,FALSE))</f>
        <v>4.8600000000000003</v>
      </c>
      <c r="N32" s="240">
        <f>INDEX($Q$15:$AC$266,$T32+28*VLOOKUP($B$15,$D$2:$F$10,2,FALSE),6+VLOOKUP($B$16,$A$7:$B$8,2,FALSE))</f>
        <v>3.37</v>
      </c>
      <c r="O32" s="163"/>
      <c r="Q32" s="349">
        <v>720</v>
      </c>
      <c r="R32" s="241">
        <v>3.66</v>
      </c>
      <c r="S32" s="240">
        <v>3.66</v>
      </c>
      <c r="T32" s="352">
        <v>18</v>
      </c>
      <c r="U32" s="241">
        <v>4.8600000000000003</v>
      </c>
      <c r="V32" s="240">
        <v>3.37</v>
      </c>
      <c r="X32" s="349">
        <v>720</v>
      </c>
      <c r="Y32" s="241">
        <v>3.44</v>
      </c>
      <c r="Z32" s="240">
        <v>3.44</v>
      </c>
      <c r="AA32" s="352">
        <v>18</v>
      </c>
      <c r="AB32" s="241">
        <v>4.8899999999999997</v>
      </c>
      <c r="AC32" s="240">
        <v>3.02</v>
      </c>
    </row>
    <row r="33" spans="9:29">
      <c r="I33" s="349">
        <f>INDEX($Q$15:$V$266,$T33+28*VLOOKUP($B$15,$D$2:$F$10,2,FALSE),1)</f>
        <v>1300</v>
      </c>
      <c r="J33" s="241">
        <f>INDEX($Q$15:$AC$266,$T33+28*VLOOKUP($B$15,$D$2:$F$10,2,FALSE),2+VLOOKUP($B$16,$A$7:$B$8,2,FALSE))</f>
        <v>5.34</v>
      </c>
      <c r="K33" s="240">
        <f>INDEX($Q$15:$AC$266,$T33+28*VLOOKUP($B$15,$D$2:$F$10,2,FALSE),3+VLOOKUP($B$16,$A$7:$B$8,2,FALSE))</f>
        <v>5.34</v>
      </c>
      <c r="L33" s="350"/>
      <c r="M33" s="241">
        <f>INDEX($Q$15:$AC$266,$T33+28*VLOOKUP($B$15,$D$2:$F$10,2,FALSE),5+VLOOKUP($B$16,$A$7:$B$8,2,FALSE))</f>
        <v>6.86</v>
      </c>
      <c r="N33" s="240">
        <f>INDEX($Q$15:$AC$266,$T33+28*VLOOKUP($B$15,$D$2:$F$10,2,FALSE),6+VLOOKUP($B$16,$A$7:$B$8,2,FALSE))</f>
        <v>5.19</v>
      </c>
      <c r="O33" s="163"/>
      <c r="Q33" s="349">
        <v>1300</v>
      </c>
      <c r="R33" s="241">
        <v>5.34</v>
      </c>
      <c r="S33" s="240">
        <v>5.34</v>
      </c>
      <c r="T33" s="352">
        <v>19</v>
      </c>
      <c r="U33" s="241">
        <v>6.86</v>
      </c>
      <c r="V33" s="240">
        <v>5.19</v>
      </c>
      <c r="X33" s="349">
        <v>1300</v>
      </c>
      <c r="Y33" s="241">
        <v>4.58</v>
      </c>
      <c r="Z33" s="240">
        <v>4.58</v>
      </c>
      <c r="AA33" s="352">
        <v>19</v>
      </c>
      <c r="AB33" s="241">
        <v>5.9</v>
      </c>
      <c r="AC33" s="240">
        <v>4.34</v>
      </c>
    </row>
    <row r="34" spans="9:29">
      <c r="I34" s="349">
        <f>$B$2</f>
        <v>0</v>
      </c>
      <c r="J34" s="241">
        <f>ROUND(J32+(J33-J32)/($I33-$I32)*($I34-$I32),2)</f>
        <v>1.57</v>
      </c>
      <c r="K34" s="240">
        <f>ROUND(K32+(K33-K32)/($I33-$I32)*($I34-$I32),2)</f>
        <v>1.57</v>
      </c>
      <c r="L34" s="350"/>
      <c r="M34" s="241">
        <f>ROUND(M32+(M33-M32)/($I33-$I32)*($I34-$I32),2)</f>
        <v>2.38</v>
      </c>
      <c r="N34" s="240">
        <f>ROUND(N32+(N33-N32)/($I33-$I32)*($I34-$I32),2)</f>
        <v>1.1100000000000001</v>
      </c>
      <c r="O34" s="163"/>
      <c r="Q34" s="349"/>
      <c r="R34" s="241"/>
      <c r="S34" s="240"/>
      <c r="T34" s="352">
        <v>20</v>
      </c>
      <c r="U34" s="241"/>
      <c r="V34" s="240"/>
      <c r="X34" s="349"/>
      <c r="Y34" s="241"/>
      <c r="Z34" s="240"/>
      <c r="AA34" s="352">
        <v>20</v>
      </c>
      <c r="AB34" s="241"/>
      <c r="AC34" s="240"/>
    </row>
    <row r="35" spans="9:29">
      <c r="I35" s="349"/>
      <c r="J35" s="241">
        <f>INDEX($Q$15:$AC$266,$T35+28*VLOOKUP($B$15,$D$2:$F$10,2,FALSE),2+VLOOKUP($B$16,$A$7:$B$8,2,FALSE))</f>
        <v>40</v>
      </c>
      <c r="K35" s="240">
        <f>INDEX($Q$15:$AC$266,$T35+28*VLOOKUP($B$15,$D$2:$F$10,2,FALSE),3+VLOOKUP($B$16,$A$7:$B$8,2,FALSE))</f>
        <v>7</v>
      </c>
      <c r="L35" s="350"/>
      <c r="M35" s="241">
        <f>INDEX($Q$15:$AC$266,$T35+28*VLOOKUP($B$15,$D$2:$F$10,2,FALSE),5+VLOOKUP($B$16,$A$7:$B$8,2,FALSE))</f>
        <v>40</v>
      </c>
      <c r="N35" s="240">
        <f>INDEX($Q$15:$AC$266,$T35+28*VLOOKUP($B$15,$D$2:$F$10,2,FALSE),6+VLOOKUP($B$16,$A$7:$B$8,2,FALSE))</f>
        <v>35</v>
      </c>
      <c r="O35" s="163"/>
      <c r="Q35" s="349"/>
      <c r="R35" s="241">
        <v>40</v>
      </c>
      <c r="S35" s="240">
        <v>7</v>
      </c>
      <c r="T35" s="352">
        <v>21</v>
      </c>
      <c r="U35" s="241">
        <v>40</v>
      </c>
      <c r="V35" s="240">
        <v>35</v>
      </c>
      <c r="X35" s="349"/>
      <c r="Y35" s="241">
        <v>40</v>
      </c>
      <c r="Z35" s="240">
        <v>7</v>
      </c>
      <c r="AA35" s="352">
        <v>21</v>
      </c>
      <c r="AB35" s="241">
        <v>40</v>
      </c>
      <c r="AC35" s="240">
        <v>40</v>
      </c>
    </row>
    <row r="36" spans="9:29">
      <c r="I36" s="349">
        <f>INDEX($Q$15:$V$266,$T36+28*VLOOKUP($B$15,$D$2:$F$10,2,FALSE),1)</f>
        <v>720</v>
      </c>
      <c r="J36" s="241">
        <f>INDEX($Q$15:$AC$266,$T36+28*VLOOKUP($B$15,$D$2:$F$10,2,FALSE),2+VLOOKUP($B$16,$A$7:$B$8,2,FALSE))</f>
        <v>4.47</v>
      </c>
      <c r="K36" s="240">
        <f>INDEX($Q$15:$AC$266,$T36+28*VLOOKUP($B$15,$D$2:$F$10,2,FALSE),3+VLOOKUP($B$16,$A$7:$B$8,2,FALSE))</f>
        <v>4.47</v>
      </c>
      <c r="L36" s="350"/>
      <c r="M36" s="241">
        <f>INDEX($Q$15:$AC$266,$T36+28*VLOOKUP($B$15,$D$2:$F$10,2,FALSE),5+VLOOKUP($B$16,$A$7:$B$8,2,FALSE))</f>
        <v>6.09</v>
      </c>
      <c r="N36" s="240">
        <f>INDEX($Q$15:$AC$266,$T36+28*VLOOKUP($B$15,$D$2:$F$10,2,FALSE),6+VLOOKUP($B$16,$A$7:$B$8,2,FALSE))</f>
        <v>4.22</v>
      </c>
      <c r="O36" s="163"/>
      <c r="Q36" s="349">
        <v>720</v>
      </c>
      <c r="R36" s="241">
        <v>4.47</v>
      </c>
      <c r="S36" s="240">
        <v>4.47</v>
      </c>
      <c r="T36" s="352">
        <v>22</v>
      </c>
      <c r="U36" s="241">
        <v>6.09</v>
      </c>
      <c r="V36" s="240">
        <v>4.22</v>
      </c>
      <c r="X36" s="349">
        <v>720</v>
      </c>
      <c r="Y36" s="241">
        <v>4.0599999999999996</v>
      </c>
      <c r="Z36" s="240">
        <v>4.0599999999999996</v>
      </c>
      <c r="AA36" s="352">
        <v>22</v>
      </c>
      <c r="AB36" s="241">
        <v>5.68</v>
      </c>
      <c r="AC36" s="240">
        <v>3.69</v>
      </c>
    </row>
    <row r="37" spans="9:29">
      <c r="I37" s="349">
        <f>INDEX($Q$15:$V$266,$T37+28*VLOOKUP($B$15,$D$2:$F$10,2,FALSE),1)</f>
        <v>1300</v>
      </c>
      <c r="J37" s="241">
        <f>INDEX($Q$15:$AC$266,$T37+28*VLOOKUP($B$15,$D$2:$F$10,2,FALSE),2+VLOOKUP($B$16,$A$7:$B$8,2,FALSE))</f>
        <v>6.57</v>
      </c>
      <c r="K37" s="240">
        <f>INDEX($Q$15:$AC$266,$T37+28*VLOOKUP($B$15,$D$2:$F$10,2,FALSE),3+VLOOKUP($B$16,$A$7:$B$8,2,FALSE))</f>
        <v>6.57</v>
      </c>
      <c r="L37" s="350"/>
      <c r="M37" s="241">
        <f>INDEX($Q$15:$AC$266,$T37+28*VLOOKUP($B$15,$D$2:$F$10,2,FALSE),5+VLOOKUP($B$16,$A$7:$B$8,2,FALSE))</f>
        <v>8.68</v>
      </c>
      <c r="N37" s="240">
        <f>INDEX($Q$15:$AC$266,$T37+28*VLOOKUP($B$15,$D$2:$F$10,2,FALSE),6+VLOOKUP($B$16,$A$7:$B$8,2,FALSE))</f>
        <v>6.53</v>
      </c>
      <c r="O37" s="163"/>
      <c r="Q37" s="349">
        <v>1300</v>
      </c>
      <c r="R37" s="241">
        <v>6.57</v>
      </c>
      <c r="S37" s="240">
        <v>6.57</v>
      </c>
      <c r="T37" s="352">
        <v>23</v>
      </c>
      <c r="U37" s="241">
        <v>8.68</v>
      </c>
      <c r="V37" s="240">
        <v>6.53</v>
      </c>
      <c r="X37" s="349">
        <v>1300</v>
      </c>
      <c r="Y37" s="241">
        <v>5.38</v>
      </c>
      <c r="Z37" s="240">
        <v>5.38</v>
      </c>
      <c r="AA37" s="352">
        <v>23</v>
      </c>
      <c r="AB37" s="241">
        <v>7.05</v>
      </c>
      <c r="AC37" s="240">
        <v>5.4</v>
      </c>
    </row>
    <row r="38" spans="9:29">
      <c r="I38" s="349">
        <f>$B$2</f>
        <v>0</v>
      </c>
      <c r="J38" s="241">
        <f>ROUND(J36+(J37-J36)/($I37-$I36)*($I38-$I36),2)</f>
        <v>1.86</v>
      </c>
      <c r="K38" s="240">
        <f>ROUND(K36+(K37-K36)/($I37-$I36)*($I38-$I36),2)</f>
        <v>1.86</v>
      </c>
      <c r="L38" s="350"/>
      <c r="M38" s="241">
        <f>ROUND(M36+(M37-M36)/($I37-$I36)*($I38-$I36),2)</f>
        <v>2.87</v>
      </c>
      <c r="N38" s="240">
        <f>ROUND(N36+(N37-N36)/($I37-$I36)*($I38-$I36),2)</f>
        <v>1.35</v>
      </c>
      <c r="O38" s="163"/>
      <c r="Q38" s="349"/>
      <c r="R38" s="241"/>
      <c r="S38" s="240"/>
      <c r="T38" s="352">
        <v>24</v>
      </c>
      <c r="U38" s="241"/>
      <c r="V38" s="240"/>
      <c r="X38" s="349"/>
      <c r="Y38" s="241"/>
      <c r="Z38" s="240"/>
      <c r="AA38" s="352">
        <v>24</v>
      </c>
      <c r="AB38" s="241"/>
      <c r="AC38" s="240"/>
    </row>
    <row r="39" spans="9:29">
      <c r="I39" s="349"/>
      <c r="J39" s="241">
        <f>INDEX($Q$15:$AC$266,$T39+28*VLOOKUP($B$15,$D$2:$F$10,2,FALSE),2+VLOOKUP($B$16,$A$7:$B$8,2,FALSE))</f>
        <v>45</v>
      </c>
      <c r="K39" s="240">
        <f>INDEX($Q$15:$AC$266,$T39+28*VLOOKUP($B$15,$D$2:$F$10,2,FALSE),3+VLOOKUP($B$16,$A$7:$B$8,2,FALSE))</f>
        <v>5</v>
      </c>
      <c r="L39" s="350"/>
      <c r="M39" s="241">
        <f>INDEX($Q$15:$AC$266,$T39+28*VLOOKUP($B$15,$D$2:$F$10,2,FALSE),5+VLOOKUP($B$16,$A$7:$B$8,2,FALSE))</f>
        <v>45</v>
      </c>
      <c r="N39" s="240">
        <f>INDEX($Q$15:$AC$266,$T39+28*VLOOKUP($B$15,$D$2:$F$10,2,FALSE),6+VLOOKUP($B$16,$A$7:$B$8,2,FALSE))</f>
        <v>30</v>
      </c>
      <c r="O39" s="163"/>
      <c r="Q39" s="349"/>
      <c r="R39" s="241">
        <v>45</v>
      </c>
      <c r="S39" s="240">
        <v>5</v>
      </c>
      <c r="T39" s="352">
        <v>25</v>
      </c>
      <c r="U39" s="241">
        <v>45</v>
      </c>
      <c r="V39" s="240">
        <v>30</v>
      </c>
      <c r="X39" s="349"/>
      <c r="Y39" s="241">
        <v>45</v>
      </c>
      <c r="Z39" s="240">
        <v>5</v>
      </c>
      <c r="AA39" s="352">
        <v>25</v>
      </c>
      <c r="AB39" s="241">
        <v>45</v>
      </c>
      <c r="AC39" s="240">
        <v>30</v>
      </c>
    </row>
    <row r="40" spans="9:29">
      <c r="I40" s="349">
        <f>INDEX($Q$15:$V$266,$T40+28*VLOOKUP($B$15,$D$2:$F$10,2,FALSE),1)</f>
        <v>720</v>
      </c>
      <c r="J40" s="241">
        <f>INDEX($Q$15:$AC$266,$T40+28*VLOOKUP($B$15,$D$2:$F$10,2,FALSE),2+VLOOKUP($B$16,$A$7:$B$8,2,FALSE))</f>
        <v>5.29</v>
      </c>
      <c r="K40" s="240">
        <f>INDEX($Q$15:$AC$266,$T40+28*VLOOKUP($B$15,$D$2:$F$10,2,FALSE),3+VLOOKUP($B$16,$A$7:$B$8,2,FALSE))</f>
        <v>5.29</v>
      </c>
      <c r="L40" s="350"/>
      <c r="M40" s="241">
        <f>INDEX($Q$15:$AC$266,$T40+28*VLOOKUP($B$15,$D$2:$F$10,2,FALSE),5+VLOOKUP($B$16,$A$7:$B$8,2,FALSE))</f>
        <v>7.67</v>
      </c>
      <c r="N40" s="240">
        <f>INDEX($Q$15:$AC$266,$T40+28*VLOOKUP($B$15,$D$2:$F$10,2,FALSE),6+VLOOKUP($B$16,$A$7:$B$8,2,FALSE))</f>
        <v>5.0999999999999996</v>
      </c>
      <c r="O40" s="163"/>
      <c r="Q40" s="349">
        <v>720</v>
      </c>
      <c r="R40" s="241">
        <v>5.29</v>
      </c>
      <c r="S40" s="240">
        <v>5.29</v>
      </c>
      <c r="T40" s="352">
        <v>26</v>
      </c>
      <c r="U40" s="241">
        <v>7.67</v>
      </c>
      <c r="V40" s="240">
        <v>5.0999999999999996</v>
      </c>
      <c r="X40" s="349">
        <v>720</v>
      </c>
      <c r="Y40" s="241">
        <v>4.66</v>
      </c>
      <c r="Z40" s="240">
        <v>4.66</v>
      </c>
      <c r="AA40" s="352">
        <v>26</v>
      </c>
      <c r="AB40" s="241">
        <v>5.96</v>
      </c>
      <c r="AC40" s="240">
        <v>4.49</v>
      </c>
    </row>
    <row r="41" spans="9:29">
      <c r="I41" s="349">
        <f>INDEX($Q$15:$V$266,$T41+28*VLOOKUP($B$15,$D$2:$F$10,2,FALSE),1)</f>
        <v>1300</v>
      </c>
      <c r="J41" s="241">
        <f>INDEX($Q$15:$AC$266,$T41+28*VLOOKUP($B$15,$D$2:$F$10,2,FALSE),2+VLOOKUP($B$16,$A$7:$B$8,2,FALSE))</f>
        <v>7.79</v>
      </c>
      <c r="K41" s="240">
        <f>INDEX($Q$15:$AC$266,$T41+28*VLOOKUP($B$15,$D$2:$F$10,2,FALSE),3+VLOOKUP($B$16,$A$7:$B$8,2,FALSE))</f>
        <v>7.79</v>
      </c>
      <c r="L41" s="350"/>
      <c r="M41" s="241">
        <f>INDEX($Q$15:$AC$266,$T41+28*VLOOKUP($B$15,$D$2:$F$10,2,FALSE),5+VLOOKUP($B$16,$A$7:$B$8,2,FALSE))</f>
        <v>11</v>
      </c>
      <c r="N41" s="240">
        <f>INDEX($Q$15:$AC$266,$T41+28*VLOOKUP($B$15,$D$2:$F$10,2,FALSE),6+VLOOKUP($B$16,$A$7:$B$8,2,FALSE))</f>
        <v>7.84</v>
      </c>
      <c r="O41" s="163"/>
      <c r="Q41" s="349">
        <v>1300</v>
      </c>
      <c r="R41" s="241">
        <v>7.79</v>
      </c>
      <c r="S41" s="240">
        <v>7.79</v>
      </c>
      <c r="T41" s="352">
        <v>27</v>
      </c>
      <c r="U41" s="241">
        <v>11</v>
      </c>
      <c r="V41" s="240">
        <v>7.84</v>
      </c>
      <c r="X41" s="349">
        <v>1300</v>
      </c>
      <c r="Y41" s="241">
        <v>6.17</v>
      </c>
      <c r="Z41" s="240">
        <v>6.17</v>
      </c>
      <c r="AA41" s="352">
        <v>27</v>
      </c>
      <c r="AB41" s="241">
        <v>11.5</v>
      </c>
      <c r="AC41" s="240">
        <v>6.39</v>
      </c>
    </row>
    <row r="42" spans="9:29" ht="15" thickBot="1">
      <c r="I42" s="353">
        <f>$B$2</f>
        <v>0</v>
      </c>
      <c r="J42" s="221">
        <f>ROUND(J40+(J41-J40)/($I41-$I40)*($I42-$I40),2)</f>
        <v>2.19</v>
      </c>
      <c r="K42" s="223">
        <f>ROUND(K40+(K41-K40)/($I41-$I40)*($I42-$I40),2)</f>
        <v>2.19</v>
      </c>
      <c r="L42" s="354"/>
      <c r="M42" s="221">
        <f>ROUND(M40+(M41-M40)/($I41-$I40)*($I42-$I40),2)</f>
        <v>3.54</v>
      </c>
      <c r="N42" s="223">
        <f>ROUND(N40+(N41-N40)/($I41-$I40)*($I42-$I40),2)</f>
        <v>1.7</v>
      </c>
      <c r="O42" s="163"/>
      <c r="Q42" s="353"/>
      <c r="R42" s="221"/>
      <c r="S42" s="223"/>
      <c r="T42" s="352">
        <v>28</v>
      </c>
      <c r="U42" s="221"/>
      <c r="V42" s="223"/>
      <c r="X42" s="353"/>
      <c r="Y42" s="221"/>
      <c r="Z42" s="223"/>
      <c r="AA42" s="352">
        <v>28</v>
      </c>
      <c r="AB42" s="221"/>
      <c r="AC42" s="223"/>
    </row>
    <row r="43" spans="9:29">
      <c r="I43" s="349"/>
      <c r="J43" s="241">
        <f>INDEX($Q$15:$AC$266,$T43+28*VLOOKUP($B$15,$D$2:$F$10,2,FALSE),2+VLOOKUP($B$16,$A$7:$B$8,2,FALSE))</f>
        <v>15</v>
      </c>
      <c r="K43" s="240">
        <f>INDEX($Q$15:$AC$266,$T43+28*VLOOKUP($B$15,$D$2:$F$10,2,FALSE),3+VLOOKUP($B$16,$A$7:$B$8,2,FALSE))</f>
        <v>30</v>
      </c>
      <c r="L43" s="350"/>
      <c r="M43" s="241">
        <f>INDEX($Q$15:$AC$266,$T43+28*VLOOKUP($B$15,$D$2:$F$10,2,FALSE),5+VLOOKUP($B$16,$A$7:$B$8,2,FALSE))</f>
        <v>15</v>
      </c>
      <c r="N43" s="240">
        <f>INDEX($Q$15:$AC$266,$T43+28*VLOOKUP($B$15,$D$2:$F$10,2,FALSE),6+VLOOKUP($B$16,$A$7:$B$8,2,FALSE))</f>
        <v>100</v>
      </c>
      <c r="P43" t="s">
        <v>361</v>
      </c>
      <c r="Q43" s="351"/>
      <c r="R43" s="271">
        <v>15</v>
      </c>
      <c r="S43" s="272">
        <v>30</v>
      </c>
      <c r="T43" s="355"/>
      <c r="U43" s="271">
        <v>15</v>
      </c>
      <c r="V43" s="272">
        <v>100</v>
      </c>
      <c r="X43" s="351"/>
      <c r="Y43" s="271">
        <v>15</v>
      </c>
      <c r="Z43" s="272">
        <v>30</v>
      </c>
      <c r="AA43" s="355"/>
      <c r="AB43" s="271">
        <v>15</v>
      </c>
      <c r="AC43" s="272">
        <v>100</v>
      </c>
    </row>
    <row r="44" spans="9:29">
      <c r="I44" s="349">
        <f>INDEX($Q$15:$V$266,$T44+28*VLOOKUP($B$15,$D$2:$F$10,2,FALSE),1)</f>
        <v>1100</v>
      </c>
      <c r="J44" s="241">
        <f>INDEX($Q$15:$AC$266,$T44+28*VLOOKUP($B$15,$D$2:$F$10,2,FALSE),2+VLOOKUP($B$16,$A$7:$B$8,2,FALSE))</f>
        <v>0.77</v>
      </c>
      <c r="K44" s="240">
        <f>INDEX($Q$15:$AC$266,$T44+28*VLOOKUP($B$15,$D$2:$F$10,2,FALSE),3+VLOOKUP($B$16,$A$7:$B$8,2,FALSE))</f>
        <v>0.77</v>
      </c>
      <c r="L44" s="350"/>
      <c r="M44" s="241">
        <f>INDEX($Q$15:$AC$266,$T44+28*VLOOKUP($B$15,$D$2:$F$10,2,FALSE),5+VLOOKUP($B$16,$A$7:$B$8,2,FALSE))</f>
        <v>0.45</v>
      </c>
      <c r="N44" s="240">
        <f>INDEX($Q$15:$AC$266,$T44+28*VLOOKUP($B$15,$D$2:$F$10,2,FALSE),6+VLOOKUP($B$16,$A$7:$B$8,2,FALSE))</f>
        <v>0.22</v>
      </c>
      <c r="Q44" s="349">
        <v>1100</v>
      </c>
      <c r="R44" s="241">
        <v>0.77</v>
      </c>
      <c r="S44" s="240">
        <v>0.77</v>
      </c>
      <c r="T44" s="350"/>
      <c r="U44" s="241">
        <v>0.45</v>
      </c>
      <c r="V44" s="240">
        <v>0.22</v>
      </c>
      <c r="X44" s="349">
        <v>1100</v>
      </c>
      <c r="Y44" s="241">
        <v>1.24</v>
      </c>
      <c r="Z44" s="240">
        <v>1.24</v>
      </c>
      <c r="AA44" s="350"/>
      <c r="AB44" s="241">
        <v>1.85</v>
      </c>
      <c r="AC44" s="240">
        <v>0.7</v>
      </c>
    </row>
    <row r="45" spans="9:29">
      <c r="I45" s="349">
        <f>INDEX($Q$15:$V$266,$T45+28*VLOOKUP($B$15,$D$2:$F$10,2,FALSE),1)</f>
        <v>2000</v>
      </c>
      <c r="J45" s="241">
        <f>INDEX($Q$15:$AC$266,$T45+28*VLOOKUP($B$15,$D$2:$F$10,2,FALSE),2+VLOOKUP($B$16,$A$7:$B$8,2,FALSE))</f>
        <v>1.05</v>
      </c>
      <c r="K45" s="240">
        <f>INDEX($Q$15:$AC$266,$T45+28*VLOOKUP($B$15,$D$2:$F$10,2,FALSE),3+VLOOKUP($B$16,$A$7:$B$8,2,FALSE))</f>
        <v>1.05</v>
      </c>
      <c r="L45" s="350"/>
      <c r="M45" s="241">
        <f>INDEX($Q$15:$AC$266,$T45+28*VLOOKUP($B$15,$D$2:$F$10,2,FALSE),5+VLOOKUP($B$16,$A$7:$B$8,2,FALSE))</f>
        <v>0.53</v>
      </c>
      <c r="N45" s="240">
        <f>INDEX($Q$15:$AC$266,$T45+28*VLOOKUP($B$15,$D$2:$F$10,2,FALSE),6+VLOOKUP($B$16,$A$7:$B$8,2,FALSE))</f>
        <v>0.2</v>
      </c>
      <c r="Q45" s="349">
        <v>2000</v>
      </c>
      <c r="R45" s="241">
        <v>1.05</v>
      </c>
      <c r="S45" s="240">
        <v>1.05</v>
      </c>
      <c r="T45" s="350"/>
      <c r="U45" s="241">
        <v>0.53</v>
      </c>
      <c r="V45" s="240">
        <v>0.2</v>
      </c>
      <c r="X45" s="349">
        <v>2000</v>
      </c>
      <c r="Y45" s="241">
        <v>1.67</v>
      </c>
      <c r="Z45" s="240">
        <v>1.67</v>
      </c>
      <c r="AA45" s="350"/>
      <c r="AB45" s="241">
        <v>2.36</v>
      </c>
      <c r="AC45" s="240">
        <v>0.8</v>
      </c>
    </row>
    <row r="46" spans="9:29">
      <c r="I46" s="349">
        <f>$B$2</f>
        <v>0</v>
      </c>
      <c r="J46" s="241">
        <f>ROUND(J44+(J45-J44)/($I45-$I44)*($I46-$I44),2)</f>
        <v>0.43</v>
      </c>
      <c r="K46" s="240">
        <f>ROUND(K44+(K45-K44)/($I45-$I44)*($I46-$I44),2)</f>
        <v>0.43</v>
      </c>
      <c r="L46" s="350"/>
      <c r="M46" s="241">
        <f>ROUND(M44+(M45-M44)/($I45-$I44)*($I46-$I44),2)</f>
        <v>0.35</v>
      </c>
      <c r="N46" s="240">
        <f>ROUND(N44+(N45-N44)/($I45-$I44)*($I46-$I44),2)</f>
        <v>0.24</v>
      </c>
      <c r="Q46" s="349"/>
      <c r="R46" s="241"/>
      <c r="S46" s="240"/>
      <c r="T46" s="350"/>
      <c r="U46" s="241"/>
      <c r="V46" s="240"/>
      <c r="X46" s="349"/>
      <c r="Y46" s="241"/>
      <c r="Z46" s="240"/>
      <c r="AA46" s="350"/>
      <c r="AB46" s="241"/>
      <c r="AC46" s="240"/>
    </row>
    <row r="47" spans="9:29">
      <c r="I47" s="349"/>
      <c r="J47" s="241">
        <f>INDEX($Q$15:$AC$266,$T47+28*VLOOKUP($B$15,$D$2:$F$10,2,FALSE),2+VLOOKUP($B$16,$A$7:$B$8,2,FALSE))</f>
        <v>20</v>
      </c>
      <c r="K47" s="240">
        <f>INDEX($Q$15:$AC$266,$T47+28*VLOOKUP($B$15,$D$2:$F$10,2,FALSE),3+VLOOKUP($B$16,$A$7:$B$8,2,FALSE))</f>
        <v>20</v>
      </c>
      <c r="L47" s="350"/>
      <c r="M47" s="241">
        <f>INDEX($Q$15:$AC$266,$T47+28*VLOOKUP($B$15,$D$2:$F$10,2,FALSE),5+VLOOKUP($B$16,$A$7:$B$8,2,FALSE))</f>
        <v>20</v>
      </c>
      <c r="N47" s="240">
        <f>INDEX($Q$15:$AC$266,$T47+28*VLOOKUP($B$15,$D$2:$F$10,2,FALSE),6+VLOOKUP($B$16,$A$7:$B$8,2,FALSE))</f>
        <v>100</v>
      </c>
      <c r="Q47" s="349"/>
      <c r="R47" s="241">
        <v>20</v>
      </c>
      <c r="S47" s="240">
        <v>20</v>
      </c>
      <c r="T47" s="350"/>
      <c r="U47" s="241">
        <v>20</v>
      </c>
      <c r="V47" s="240">
        <v>100</v>
      </c>
      <c r="X47" s="349"/>
      <c r="Y47" s="241">
        <v>20</v>
      </c>
      <c r="Z47" s="240">
        <v>20</v>
      </c>
      <c r="AA47" s="350"/>
      <c r="AB47" s="241">
        <v>20</v>
      </c>
      <c r="AC47" s="240">
        <v>100</v>
      </c>
    </row>
    <row r="48" spans="9:29">
      <c r="I48" s="349">
        <f>INDEX($Q$15:$V$266,$T48+28*VLOOKUP($B$15,$D$2:$F$10,2,FALSE),1)</f>
        <v>1100</v>
      </c>
      <c r="J48" s="241">
        <f>INDEX($Q$15:$AC$266,$T48+28*VLOOKUP($B$15,$D$2:$F$10,2,FALSE),2+VLOOKUP($B$16,$A$7:$B$8,2,FALSE))</f>
        <v>2.04</v>
      </c>
      <c r="K48" s="240">
        <f>INDEX($Q$15:$AC$266,$T48+28*VLOOKUP($B$15,$D$2:$F$10,2,FALSE),3+VLOOKUP($B$16,$A$7:$B$8,2,FALSE))</f>
        <v>2.04</v>
      </c>
      <c r="L48" s="350"/>
      <c r="M48" s="241">
        <f>INDEX($Q$15:$AC$266,$T48+28*VLOOKUP($B$15,$D$2:$F$10,2,FALSE),5+VLOOKUP($B$16,$A$7:$B$8,2,FALSE))</f>
        <v>4.04</v>
      </c>
      <c r="N48" s="240">
        <f>INDEX($Q$15:$AC$266,$T48+28*VLOOKUP($B$15,$D$2:$F$10,2,FALSE),6+VLOOKUP($B$16,$A$7:$B$8,2,FALSE))</f>
        <v>1.29</v>
      </c>
      <c r="Q48" s="349">
        <v>1100</v>
      </c>
      <c r="R48" s="241">
        <v>2.04</v>
      </c>
      <c r="S48" s="240">
        <v>2.04</v>
      </c>
      <c r="T48" s="350"/>
      <c r="U48" s="241">
        <v>4.04</v>
      </c>
      <c r="V48" s="240">
        <v>1.29</v>
      </c>
      <c r="X48" s="349">
        <v>1100</v>
      </c>
      <c r="Y48" s="241">
        <v>2.34</v>
      </c>
      <c r="Z48" s="240">
        <v>2.34</v>
      </c>
      <c r="AA48" s="350"/>
      <c r="AB48" s="241">
        <v>4.6500000000000004</v>
      </c>
      <c r="AC48" s="240">
        <v>1.54</v>
      </c>
    </row>
    <row r="49" spans="9:29">
      <c r="I49" s="349">
        <f>INDEX($Q$15:$V$266,$T49+28*VLOOKUP($B$15,$D$2:$F$10,2,FALSE),1)</f>
        <v>2000</v>
      </c>
      <c r="J49" s="241">
        <f>INDEX($Q$15:$AC$266,$T49+28*VLOOKUP($B$15,$D$2:$F$10,2,FALSE),2+VLOOKUP($B$16,$A$7:$B$8,2,FALSE))</f>
        <v>2.92</v>
      </c>
      <c r="K49" s="240">
        <f>INDEX($Q$15:$AC$266,$T49+28*VLOOKUP($B$15,$D$2:$F$10,2,FALSE),3+VLOOKUP($B$16,$A$7:$B$8,2,FALSE))</f>
        <v>2.92</v>
      </c>
      <c r="L49" s="350"/>
      <c r="M49" s="241">
        <f>INDEX($Q$15:$AC$266,$T49+28*VLOOKUP($B$15,$D$2:$F$10,2,FALSE),5+VLOOKUP($B$16,$A$7:$B$8,2,FALSE))</f>
        <v>5.6</v>
      </c>
      <c r="N49" s="240">
        <f>INDEX($Q$15:$AC$266,$T49+28*VLOOKUP($B$15,$D$2:$F$10,2,FALSE),6+VLOOKUP($B$16,$A$7:$B$8,2,FALSE))</f>
        <v>1.67</v>
      </c>
      <c r="Q49" s="349">
        <v>2000</v>
      </c>
      <c r="R49" s="241">
        <v>2.92</v>
      </c>
      <c r="S49" s="240">
        <v>2.92</v>
      </c>
      <c r="T49" s="350"/>
      <c r="U49" s="241">
        <v>5.6</v>
      </c>
      <c r="V49" s="240">
        <v>1.67</v>
      </c>
      <c r="X49" s="349">
        <v>2000</v>
      </c>
      <c r="Y49" s="241">
        <v>3.23</v>
      </c>
      <c r="Z49" s="240">
        <v>3.23</v>
      </c>
      <c r="AA49" s="350"/>
      <c r="AB49" s="241">
        <v>6.04</v>
      </c>
      <c r="AC49" s="240">
        <v>1.87</v>
      </c>
    </row>
    <row r="50" spans="9:29">
      <c r="I50" s="349">
        <f>$B$2</f>
        <v>0</v>
      </c>
      <c r="J50" s="241">
        <f>ROUND(J48+(J49-J48)/($I49-$I48)*($I50-$I48),2)</f>
        <v>0.96</v>
      </c>
      <c r="K50" s="240">
        <f>ROUND(K48+(K49-K48)/($I49-$I48)*($I50-$I48),2)</f>
        <v>0.96</v>
      </c>
      <c r="L50" s="350"/>
      <c r="M50" s="241">
        <f>ROUND(M48+(M49-M48)/($I49-$I48)*($I50-$I48),2)</f>
        <v>2.13</v>
      </c>
      <c r="N50" s="240">
        <f>ROUND(N48+(N49-N48)/($I49-$I48)*($I50-$I48),2)</f>
        <v>0.83</v>
      </c>
      <c r="Q50" s="349"/>
      <c r="R50" s="241"/>
      <c r="S50" s="240"/>
      <c r="T50" s="350"/>
      <c r="U50" s="241"/>
      <c r="V50" s="240"/>
      <c r="X50" s="349"/>
      <c r="Y50" s="241"/>
      <c r="Z50" s="240"/>
      <c r="AA50" s="350"/>
      <c r="AB50" s="241"/>
      <c r="AC50" s="240"/>
    </row>
    <row r="51" spans="9:29">
      <c r="I51" s="349"/>
      <c r="J51" s="241">
        <f>INDEX($Q$15:$AC$266,$T51+28*VLOOKUP($B$15,$D$2:$F$10,2,FALSE),2+VLOOKUP($B$16,$A$7:$B$8,2,FALSE))</f>
        <v>25</v>
      </c>
      <c r="K51" s="240">
        <f>INDEX($Q$15:$AC$266,$T51+28*VLOOKUP($B$15,$D$2:$F$10,2,FALSE),3+VLOOKUP($B$16,$A$7:$B$8,2,FALSE))</f>
        <v>15</v>
      </c>
      <c r="L51" s="350"/>
      <c r="M51" s="241">
        <f>INDEX($Q$15:$AC$266,$T51+28*VLOOKUP($B$15,$D$2:$F$10,2,FALSE),5+VLOOKUP($B$16,$A$7:$B$8,2,FALSE))</f>
        <v>25</v>
      </c>
      <c r="N51" s="240">
        <f>INDEX($Q$15:$AC$266,$T51+28*VLOOKUP($B$15,$D$2:$F$10,2,FALSE),6+VLOOKUP($B$16,$A$7:$B$8,2,FALSE))</f>
        <v>73</v>
      </c>
      <c r="Q51" s="349"/>
      <c r="R51" s="241">
        <v>25</v>
      </c>
      <c r="S51" s="240">
        <v>15</v>
      </c>
      <c r="T51" s="350"/>
      <c r="U51" s="241">
        <v>25</v>
      </c>
      <c r="V51" s="240">
        <v>73</v>
      </c>
      <c r="X51" s="349"/>
      <c r="Y51" s="241">
        <v>25</v>
      </c>
      <c r="Z51" s="240">
        <v>15</v>
      </c>
      <c r="AA51" s="350"/>
      <c r="AB51" s="241">
        <v>25</v>
      </c>
      <c r="AC51" s="240">
        <v>73</v>
      </c>
    </row>
    <row r="52" spans="9:29">
      <c r="I52" s="349">
        <f>INDEX($Q$15:$V$266,$T52+28*VLOOKUP($B$15,$D$2:$F$10,2,FALSE),1)</f>
        <v>1100</v>
      </c>
      <c r="J52" s="241">
        <f>INDEX($Q$15:$AC$266,$T52+28*VLOOKUP($B$15,$D$2:$F$10,2,FALSE),2+VLOOKUP($B$16,$A$7:$B$8,2,FALSE))</f>
        <v>3.3</v>
      </c>
      <c r="K52" s="240">
        <f>INDEX($Q$15:$AC$266,$T52+28*VLOOKUP($B$15,$D$2:$F$10,2,FALSE),3+VLOOKUP($B$16,$A$7:$B$8,2,FALSE))</f>
        <v>3.3</v>
      </c>
      <c r="L52" s="350"/>
      <c r="M52" s="241">
        <f>INDEX($Q$15:$AC$266,$T52+28*VLOOKUP($B$15,$D$2:$F$10,2,FALSE),5+VLOOKUP($B$16,$A$7:$B$8,2,FALSE))</f>
        <v>5.18</v>
      </c>
      <c r="N52" s="240">
        <f>INDEX($Q$15:$AC$266,$T52+28*VLOOKUP($B$15,$D$2:$F$10,2,FALSE),6+VLOOKUP($B$16,$A$7:$B$8,2,FALSE))</f>
        <v>2.66</v>
      </c>
      <c r="Q52" s="349">
        <v>1100</v>
      </c>
      <c r="R52" s="241">
        <v>3.3</v>
      </c>
      <c r="S52" s="240">
        <v>3.3</v>
      </c>
      <c r="T52" s="350"/>
      <c r="U52" s="241">
        <v>5.18</v>
      </c>
      <c r="V52" s="240">
        <v>2.66</v>
      </c>
      <c r="X52" s="349">
        <v>1100</v>
      </c>
      <c r="Y52" s="241">
        <v>3.43</v>
      </c>
      <c r="Z52" s="240">
        <v>3.43</v>
      </c>
      <c r="AA52" s="350"/>
      <c r="AB52" s="241">
        <v>5.25</v>
      </c>
      <c r="AC52" s="240">
        <v>2.74</v>
      </c>
    </row>
    <row r="53" spans="9:29">
      <c r="I53" s="349">
        <f>INDEX($Q$15:$V$266,$T53+28*VLOOKUP($B$15,$D$2:$F$10,2,FALSE),1)</f>
        <v>2000</v>
      </c>
      <c r="J53" s="241">
        <f>INDEX($Q$15:$AC$266,$T53+28*VLOOKUP($B$15,$D$2:$F$10,2,FALSE),2+VLOOKUP($B$16,$A$7:$B$8,2,FALSE))</f>
        <v>4.8</v>
      </c>
      <c r="K53" s="240">
        <f>INDEX($Q$15:$AC$266,$T53+28*VLOOKUP($B$15,$D$2:$F$10,2,FALSE),3+VLOOKUP($B$16,$A$7:$B$8,2,FALSE))</f>
        <v>4.8</v>
      </c>
      <c r="L53" s="350"/>
      <c r="M53" s="241">
        <f>INDEX($Q$15:$AC$266,$T53+28*VLOOKUP($B$15,$D$2:$F$10,2,FALSE),5+VLOOKUP($B$16,$A$7:$B$8,2,FALSE))</f>
        <v>7.27</v>
      </c>
      <c r="N53" s="240">
        <f>INDEX($Q$15:$AC$266,$T53+28*VLOOKUP($B$15,$D$2:$F$10,2,FALSE),6+VLOOKUP($B$16,$A$7:$B$8,2,FALSE))</f>
        <v>3.89</v>
      </c>
      <c r="Q53" s="349">
        <v>2000</v>
      </c>
      <c r="R53" s="241">
        <v>4.8</v>
      </c>
      <c r="S53" s="240">
        <v>4.8</v>
      </c>
      <c r="T53" s="350"/>
      <c r="U53" s="241">
        <v>7.27</v>
      </c>
      <c r="V53" s="240">
        <v>3.89</v>
      </c>
      <c r="X53" s="349">
        <v>2000</v>
      </c>
      <c r="Y53" s="241">
        <v>4.75</v>
      </c>
      <c r="Z53" s="240">
        <v>4.75</v>
      </c>
      <c r="AA53" s="350"/>
      <c r="AB53" s="241">
        <v>7.15</v>
      </c>
      <c r="AC53" s="240">
        <v>3.89</v>
      </c>
    </row>
    <row r="54" spans="9:29">
      <c r="I54" s="349">
        <f>$B$2</f>
        <v>0</v>
      </c>
      <c r="J54" s="241">
        <f>ROUND(J52+(J53-J52)/($I53-$I52)*($I54-$I52),2)</f>
        <v>1.47</v>
      </c>
      <c r="K54" s="240">
        <f>ROUND(K52+(K53-K52)/($I53-$I52)*($I54-$I52),2)</f>
        <v>1.47</v>
      </c>
      <c r="L54" s="350"/>
      <c r="M54" s="241">
        <f>ROUND(M52+(M53-M52)/($I53-$I52)*($I54-$I52),2)</f>
        <v>2.63</v>
      </c>
      <c r="N54" s="240">
        <f>ROUND(N52+(N53-N52)/($I53-$I52)*($I54-$I52),2)</f>
        <v>1.1599999999999999</v>
      </c>
      <c r="Q54" s="349"/>
      <c r="R54" s="241"/>
      <c r="S54" s="240"/>
      <c r="T54" s="350"/>
      <c r="U54" s="241"/>
      <c r="V54" s="240"/>
      <c r="X54" s="349"/>
      <c r="Y54" s="241"/>
      <c r="Z54" s="240"/>
      <c r="AA54" s="350"/>
      <c r="AB54" s="241"/>
      <c r="AC54" s="240"/>
    </row>
    <row r="55" spans="9:29">
      <c r="I55" s="349"/>
      <c r="J55" s="241">
        <f>INDEX($Q$15:$AC$266,$T55+28*VLOOKUP($B$15,$D$2:$F$10,2,FALSE),2+VLOOKUP($B$16,$A$7:$B$8,2,FALSE))</f>
        <v>30</v>
      </c>
      <c r="K55" s="240">
        <f>INDEX($Q$15:$AC$266,$T55+28*VLOOKUP($B$15,$D$2:$F$10,2,FALSE),3+VLOOKUP($B$16,$A$7:$B$8,2,FALSE))</f>
        <v>12</v>
      </c>
      <c r="L55" s="350"/>
      <c r="M55" s="241">
        <f>INDEX($Q$15:$AC$266,$T55+28*VLOOKUP($B$15,$D$2:$F$10,2,FALSE),5+VLOOKUP($B$16,$A$7:$B$8,2,FALSE))</f>
        <v>30</v>
      </c>
      <c r="N55" s="240">
        <f>INDEX($Q$15:$AC$266,$T55+28*VLOOKUP($B$15,$D$2:$F$10,2,FALSE),6+VLOOKUP($B$16,$A$7:$B$8,2,FALSE))</f>
        <v>56</v>
      </c>
      <c r="Q55" s="349"/>
      <c r="R55" s="241">
        <v>30</v>
      </c>
      <c r="S55" s="240">
        <v>12</v>
      </c>
      <c r="T55" s="350"/>
      <c r="U55" s="241">
        <v>30</v>
      </c>
      <c r="V55" s="240">
        <v>56</v>
      </c>
      <c r="X55" s="349"/>
      <c r="Y55" s="241">
        <v>30</v>
      </c>
      <c r="Z55" s="240">
        <v>12</v>
      </c>
      <c r="AA55" s="350"/>
      <c r="AB55" s="241">
        <v>30</v>
      </c>
      <c r="AC55" s="240">
        <v>56</v>
      </c>
    </row>
    <row r="56" spans="9:29">
      <c r="I56" s="349">
        <f>INDEX($Q$15:$V$266,$T56+28*VLOOKUP($B$15,$D$2:$F$10,2,FALSE),1)</f>
        <v>1100</v>
      </c>
      <c r="J56" s="241">
        <f>INDEX($Q$15:$AC$266,$T56+28*VLOOKUP($B$15,$D$2:$F$10,2,FALSE),2+VLOOKUP($B$16,$A$7:$B$8,2,FALSE))</f>
        <v>4.5599999999999996</v>
      </c>
      <c r="K56" s="240">
        <f>INDEX($Q$15:$AC$266,$T56+28*VLOOKUP($B$15,$D$2:$F$10,2,FALSE),3+VLOOKUP($B$16,$A$7:$B$8,2,FALSE))</f>
        <v>4.5599999999999996</v>
      </c>
      <c r="L56" s="350"/>
      <c r="M56" s="241">
        <f>INDEX($Q$15:$AC$266,$T56+28*VLOOKUP($B$15,$D$2:$F$10,2,FALSE),5+VLOOKUP($B$16,$A$7:$B$8,2,FALSE))</f>
        <v>6.69</v>
      </c>
      <c r="N56" s="240">
        <f>INDEX($Q$15:$AC$266,$T56+28*VLOOKUP($B$15,$D$2:$F$10,2,FALSE),6+VLOOKUP($B$16,$A$7:$B$8,2,FALSE))</f>
        <v>4.05</v>
      </c>
      <c r="Q56" s="349">
        <v>1100</v>
      </c>
      <c r="R56" s="241">
        <v>4.5599999999999996</v>
      </c>
      <c r="S56" s="240">
        <v>4.5599999999999996</v>
      </c>
      <c r="T56" s="350"/>
      <c r="U56" s="241">
        <v>6.69</v>
      </c>
      <c r="V56" s="240">
        <v>4.05</v>
      </c>
      <c r="X56" s="349">
        <v>1100</v>
      </c>
      <c r="Y56" s="241">
        <v>4.5</v>
      </c>
      <c r="Z56" s="240">
        <v>4.5</v>
      </c>
      <c r="AA56" s="350"/>
      <c r="AB56" s="241">
        <v>6.61</v>
      </c>
      <c r="AC56" s="240">
        <v>3.86</v>
      </c>
    </row>
    <row r="57" spans="9:29">
      <c r="I57" s="349">
        <f>INDEX($Q$15:$V$266,$T57+28*VLOOKUP($B$15,$D$2:$F$10,2,FALSE),1)</f>
        <v>2000</v>
      </c>
      <c r="J57" s="241">
        <f>INDEX($Q$15:$AC$266,$T57+28*VLOOKUP($B$15,$D$2:$F$10,2,FALSE),2+VLOOKUP($B$16,$A$7:$B$8,2,FALSE))</f>
        <v>6.68</v>
      </c>
      <c r="K57" s="240">
        <f>INDEX($Q$15:$AC$266,$T57+28*VLOOKUP($B$15,$D$2:$F$10,2,FALSE),3+VLOOKUP($B$16,$A$7:$B$8,2,FALSE))</f>
        <v>6.68</v>
      </c>
      <c r="L57" s="350"/>
      <c r="M57" s="241">
        <f>INDEX($Q$15:$AC$266,$T57+28*VLOOKUP($B$15,$D$2:$F$10,2,FALSE),5+VLOOKUP($B$16,$A$7:$B$8,2,FALSE))</f>
        <v>9.5</v>
      </c>
      <c r="N57" s="240">
        <f>INDEX($Q$15:$AC$266,$T57+28*VLOOKUP($B$15,$D$2:$F$10,2,FALSE),6+VLOOKUP($B$16,$A$7:$B$8,2,FALSE))</f>
        <v>5.99</v>
      </c>
      <c r="Q57" s="349">
        <v>2000</v>
      </c>
      <c r="R57" s="241">
        <v>6.68</v>
      </c>
      <c r="S57" s="240">
        <v>6.68</v>
      </c>
      <c r="T57" s="350"/>
      <c r="U57" s="241">
        <v>9.5</v>
      </c>
      <c r="V57" s="240">
        <v>5.99</v>
      </c>
      <c r="X57" s="349">
        <v>2000</v>
      </c>
      <c r="Y57" s="241">
        <v>6.24</v>
      </c>
      <c r="Z57" s="240">
        <v>6.24</v>
      </c>
      <c r="AA57" s="350"/>
      <c r="AB57" s="241">
        <v>8.5500000000000007</v>
      </c>
      <c r="AC57" s="240">
        <v>5.72</v>
      </c>
    </row>
    <row r="58" spans="9:29">
      <c r="I58" s="349">
        <f>$B$2</f>
        <v>0</v>
      </c>
      <c r="J58" s="241">
        <f>ROUND(J56+(J57-J56)/($I57-$I56)*($I58-$I56),2)</f>
        <v>1.97</v>
      </c>
      <c r="K58" s="240">
        <f>ROUND(K56+(K57-K56)/($I57-$I56)*($I58-$I56),2)</f>
        <v>1.97</v>
      </c>
      <c r="L58" s="350"/>
      <c r="M58" s="241">
        <f>ROUND(M56+(M57-M56)/($I57-$I56)*($I58-$I56),2)</f>
        <v>3.26</v>
      </c>
      <c r="N58" s="240">
        <f>ROUND(N56+(N57-N56)/($I57-$I56)*($I58-$I56),2)</f>
        <v>1.68</v>
      </c>
      <c r="Q58" s="349"/>
      <c r="R58" s="241"/>
      <c r="S58" s="240"/>
      <c r="T58" s="350"/>
      <c r="U58" s="241"/>
      <c r="V58" s="240"/>
      <c r="X58" s="349"/>
      <c r="Y58" s="241"/>
      <c r="Z58" s="240"/>
      <c r="AA58" s="350"/>
      <c r="AB58" s="241"/>
      <c r="AC58" s="240"/>
    </row>
    <row r="59" spans="9:29">
      <c r="I59" s="349"/>
      <c r="J59" s="241">
        <f>INDEX($Q$15:$AC$266,$T59+28*VLOOKUP($B$15,$D$2:$F$10,2,FALSE),2+VLOOKUP($B$16,$A$7:$B$8,2,FALSE))</f>
        <v>35</v>
      </c>
      <c r="K59" s="240">
        <f>INDEX($Q$15:$AC$266,$T59+28*VLOOKUP($B$15,$D$2:$F$10,2,FALSE),3+VLOOKUP($B$16,$A$7:$B$8,2,FALSE))</f>
        <v>9</v>
      </c>
      <c r="L59" s="350"/>
      <c r="M59" s="241">
        <f>INDEX($Q$15:$AC$266,$T59+28*VLOOKUP($B$15,$D$2:$F$10,2,FALSE),5+VLOOKUP($B$16,$A$7:$B$8,2,FALSE))</f>
        <v>35</v>
      </c>
      <c r="N59" s="240">
        <f>INDEX($Q$15:$AC$266,$T59+28*VLOOKUP($B$15,$D$2:$F$10,2,FALSE),6+VLOOKUP($B$16,$A$7:$B$8,2,FALSE))</f>
        <v>43</v>
      </c>
      <c r="Q59" s="349"/>
      <c r="R59" s="241">
        <v>35</v>
      </c>
      <c r="S59" s="240">
        <v>9</v>
      </c>
      <c r="T59" s="350"/>
      <c r="U59" s="241">
        <v>35</v>
      </c>
      <c r="V59" s="240">
        <v>43</v>
      </c>
      <c r="X59" s="349"/>
      <c r="Y59" s="241">
        <v>35</v>
      </c>
      <c r="Z59" s="240">
        <v>9</v>
      </c>
      <c r="AA59" s="350"/>
      <c r="AB59" s="241">
        <v>35</v>
      </c>
      <c r="AC59" s="240">
        <v>43</v>
      </c>
    </row>
    <row r="60" spans="9:29">
      <c r="I60" s="349">
        <f>INDEX($Q$15:$V$266,$T60+28*VLOOKUP($B$15,$D$2:$F$10,2,FALSE),1)</f>
        <v>1100</v>
      </c>
      <c r="J60" s="241">
        <f>INDEX($Q$15:$AC$266,$T60+28*VLOOKUP($B$15,$D$2:$F$10,2,FALSE),2+VLOOKUP($B$16,$A$7:$B$8,2,FALSE))</f>
        <v>5.81</v>
      </c>
      <c r="K60" s="240">
        <f>INDEX($Q$15:$AC$266,$T60+28*VLOOKUP($B$15,$D$2:$F$10,2,FALSE),3+VLOOKUP($B$16,$A$7:$B$8,2,FALSE))</f>
        <v>5.81</v>
      </c>
      <c r="L60" s="350"/>
      <c r="M60" s="241">
        <f>INDEX($Q$15:$AC$266,$T60+28*VLOOKUP($B$15,$D$2:$F$10,2,FALSE),5+VLOOKUP($B$16,$A$7:$B$8,2,FALSE))</f>
        <v>8.1</v>
      </c>
      <c r="N60" s="240">
        <f>INDEX($Q$15:$AC$266,$T60+28*VLOOKUP($B$15,$D$2:$F$10,2,FALSE),6+VLOOKUP($B$16,$A$7:$B$8,2,FALSE))</f>
        <v>5.42</v>
      </c>
      <c r="Q60" s="349">
        <v>1100</v>
      </c>
      <c r="R60" s="241">
        <v>5.81</v>
      </c>
      <c r="S60" s="240">
        <v>5.81</v>
      </c>
      <c r="T60" s="350"/>
      <c r="U60" s="241">
        <v>8.1</v>
      </c>
      <c r="V60" s="240">
        <v>5.42</v>
      </c>
      <c r="X60" s="349">
        <v>1100</v>
      </c>
      <c r="Y60" s="241">
        <v>5.75</v>
      </c>
      <c r="Z60" s="240">
        <v>5.75</v>
      </c>
      <c r="AA60" s="350"/>
      <c r="AB60" s="241">
        <v>7.6</v>
      </c>
      <c r="AC60" s="240">
        <v>5.1100000000000003</v>
      </c>
    </row>
    <row r="61" spans="9:29">
      <c r="I61" s="349">
        <f>INDEX($Q$15:$V$266,$T61+28*VLOOKUP($B$15,$D$2:$F$10,2,FALSE),1)</f>
        <v>2000</v>
      </c>
      <c r="J61" s="241">
        <f>INDEX($Q$15:$AC$266,$T61+28*VLOOKUP($B$15,$D$2:$F$10,2,FALSE),2+VLOOKUP($B$16,$A$7:$B$8,2,FALSE))</f>
        <v>8.58</v>
      </c>
      <c r="K61" s="240">
        <f>INDEX($Q$15:$AC$266,$T61+28*VLOOKUP($B$15,$D$2:$F$10,2,FALSE),3+VLOOKUP($B$16,$A$7:$B$8,2,FALSE))</f>
        <v>8.58</v>
      </c>
      <c r="L61" s="350"/>
      <c r="M61" s="241">
        <f>INDEX($Q$15:$AC$266,$T61+28*VLOOKUP($B$15,$D$2:$F$10,2,FALSE),5+VLOOKUP($B$16,$A$7:$B$8,2,FALSE))</f>
        <v>11.6</v>
      </c>
      <c r="N61" s="240">
        <f>INDEX($Q$15:$AC$266,$T61+28*VLOOKUP($B$15,$D$2:$F$10,2,FALSE),6+VLOOKUP($B$16,$A$7:$B$8,2,FALSE))</f>
        <v>8.32</v>
      </c>
      <c r="Q61" s="349">
        <v>2000</v>
      </c>
      <c r="R61" s="241">
        <v>8.58</v>
      </c>
      <c r="S61" s="240">
        <v>8.58</v>
      </c>
      <c r="T61" s="350"/>
      <c r="U61" s="241">
        <v>11.6</v>
      </c>
      <c r="V61" s="240">
        <v>8.32</v>
      </c>
      <c r="X61" s="349">
        <v>2000</v>
      </c>
      <c r="Y61" s="241">
        <v>7.7</v>
      </c>
      <c r="Z61" s="240">
        <v>7.7</v>
      </c>
      <c r="AA61" s="350"/>
      <c r="AB61" s="241">
        <v>9.85</v>
      </c>
      <c r="AC61" s="240">
        <v>7.63</v>
      </c>
    </row>
    <row r="62" spans="9:29">
      <c r="I62" s="349">
        <f>$B$2</f>
        <v>0</v>
      </c>
      <c r="J62" s="241">
        <f>ROUND(J60+(J61-J60)/($I61-$I60)*($I62-$I60),2)</f>
        <v>2.42</v>
      </c>
      <c r="K62" s="240">
        <f>ROUND(K60+(K61-K60)/($I61-$I60)*($I62-$I60),2)</f>
        <v>2.42</v>
      </c>
      <c r="L62" s="350"/>
      <c r="M62" s="241">
        <f>ROUND(M60+(M61-M60)/($I61-$I60)*($I62-$I60),2)</f>
        <v>3.82</v>
      </c>
      <c r="N62" s="240">
        <f>ROUND(N60+(N61-N60)/($I61-$I60)*($I62-$I60),2)</f>
        <v>1.88</v>
      </c>
      <c r="Q62" s="349"/>
      <c r="R62" s="241"/>
      <c r="S62" s="240"/>
      <c r="T62" s="350"/>
      <c r="U62" s="241"/>
      <c r="V62" s="240"/>
      <c r="X62" s="349"/>
      <c r="Y62" s="241"/>
      <c r="Z62" s="240"/>
      <c r="AA62" s="350"/>
      <c r="AB62" s="241"/>
      <c r="AC62" s="240"/>
    </row>
    <row r="63" spans="9:29">
      <c r="I63" s="349"/>
      <c r="J63" s="241">
        <f>INDEX($Q$15:$AC$266,$T63+28*VLOOKUP($B$15,$D$2:$F$10,2,FALSE),2+VLOOKUP($B$16,$A$7:$B$8,2,FALSE))</f>
        <v>40</v>
      </c>
      <c r="K63" s="240">
        <f>INDEX($Q$15:$AC$266,$T63+28*VLOOKUP($B$15,$D$2:$F$10,2,FALSE),3+VLOOKUP($B$16,$A$7:$B$8,2,FALSE))</f>
        <v>7</v>
      </c>
      <c r="L63" s="350"/>
      <c r="M63" s="241">
        <f>INDEX($Q$15:$AC$266,$T63+28*VLOOKUP($B$15,$D$2:$F$10,2,FALSE),5+VLOOKUP($B$16,$A$7:$B$8,2,FALSE))</f>
        <v>40</v>
      </c>
      <c r="N63" s="240">
        <f>INDEX($Q$15:$AC$266,$T63+28*VLOOKUP($B$15,$D$2:$F$10,2,FALSE),6+VLOOKUP($B$16,$A$7:$B$8,2,FALSE))</f>
        <v>35</v>
      </c>
      <c r="Q63" s="349"/>
      <c r="R63" s="241">
        <v>40</v>
      </c>
      <c r="S63" s="240">
        <v>7</v>
      </c>
      <c r="T63" s="350"/>
      <c r="U63" s="241">
        <v>40</v>
      </c>
      <c r="V63" s="240">
        <v>35</v>
      </c>
      <c r="X63" s="349"/>
      <c r="Y63" s="241">
        <v>40</v>
      </c>
      <c r="Z63" s="240">
        <v>7</v>
      </c>
      <c r="AA63" s="350"/>
      <c r="AB63" s="241">
        <v>40</v>
      </c>
      <c r="AC63" s="240">
        <v>40</v>
      </c>
    </row>
    <row r="64" spans="9:29">
      <c r="I64" s="349">
        <f>INDEX($Q$15:$V$266,$T64+28*VLOOKUP($B$15,$D$2:$F$10,2,FALSE),1)</f>
        <v>1100</v>
      </c>
      <c r="J64" s="241">
        <f>INDEX($Q$15:$AC$266,$T64+28*VLOOKUP($B$15,$D$2:$F$10,2,FALSE),2+VLOOKUP($B$16,$A$7:$B$8,2,FALSE))</f>
        <v>7.07</v>
      </c>
      <c r="K64" s="240">
        <f>INDEX($Q$15:$AC$266,$T64+28*VLOOKUP($B$15,$D$2:$F$10,2,FALSE),3+VLOOKUP($B$16,$A$7:$B$8,2,FALSE))</f>
        <v>7.07</v>
      </c>
      <c r="L64" s="350"/>
      <c r="M64" s="241">
        <f>INDEX($Q$15:$AC$266,$T64+28*VLOOKUP($B$15,$D$2:$F$10,2,FALSE),5+VLOOKUP($B$16,$A$7:$B$8,2,FALSE))</f>
        <v>10</v>
      </c>
      <c r="N64" s="240">
        <f>INDEX($Q$15:$AC$266,$T64+28*VLOOKUP($B$15,$D$2:$F$10,2,FALSE),6+VLOOKUP($B$16,$A$7:$B$8,2,FALSE))</f>
        <v>6.8</v>
      </c>
      <c r="Q64" s="349">
        <v>1100</v>
      </c>
      <c r="R64" s="241">
        <v>7.07</v>
      </c>
      <c r="S64" s="240">
        <v>7.07</v>
      </c>
      <c r="T64" s="350"/>
      <c r="U64" s="241">
        <v>10</v>
      </c>
      <c r="V64" s="240">
        <v>6.8</v>
      </c>
      <c r="X64" s="349">
        <v>1100</v>
      </c>
      <c r="Y64" s="241">
        <v>6.6</v>
      </c>
      <c r="Z64" s="240">
        <v>6.6</v>
      </c>
      <c r="AA64" s="350"/>
      <c r="AB64" s="241">
        <v>9.98</v>
      </c>
      <c r="AC64" s="240">
        <v>6.1</v>
      </c>
    </row>
    <row r="65" spans="9:29">
      <c r="I65" s="349">
        <f>INDEX($Q$15:$V$266,$T65+28*VLOOKUP($B$15,$D$2:$F$10,2,FALSE),1)</f>
        <v>2000</v>
      </c>
      <c r="J65" s="241">
        <f>INDEX($Q$15:$AC$266,$T65+28*VLOOKUP($B$15,$D$2:$F$10,2,FALSE),2+VLOOKUP($B$16,$A$7:$B$8,2,FALSE))</f>
        <v>10.5</v>
      </c>
      <c r="K65" s="240">
        <f>INDEX($Q$15:$AC$266,$T65+28*VLOOKUP($B$15,$D$2:$F$10,2,FALSE),3+VLOOKUP($B$16,$A$7:$B$8,2,FALSE))</f>
        <v>10.5</v>
      </c>
      <c r="L65" s="350"/>
      <c r="M65" s="241">
        <f>INDEX($Q$15:$AC$266,$T65+28*VLOOKUP($B$15,$D$2:$F$10,2,FALSE),5+VLOOKUP($B$16,$A$7:$B$8,2,FALSE))</f>
        <v>14.5</v>
      </c>
      <c r="N65" s="240">
        <f>INDEX($Q$15:$AC$266,$T65+28*VLOOKUP($B$15,$D$2:$F$10,2,FALSE),6+VLOOKUP($B$16,$A$7:$B$8,2,FALSE))</f>
        <v>10.4</v>
      </c>
      <c r="Q65" s="349">
        <v>2000</v>
      </c>
      <c r="R65" s="241">
        <v>10.5</v>
      </c>
      <c r="S65" s="240">
        <v>10.5</v>
      </c>
      <c r="T65" s="350"/>
      <c r="U65" s="241">
        <v>14.5</v>
      </c>
      <c r="V65" s="240">
        <v>10.4</v>
      </c>
      <c r="X65" s="349">
        <v>2000</v>
      </c>
      <c r="Y65" s="241">
        <v>9.1300000000000008</v>
      </c>
      <c r="Z65" s="240">
        <v>9.1300000000000008</v>
      </c>
      <c r="AA65" s="350"/>
      <c r="AB65" s="241">
        <v>12.8</v>
      </c>
      <c r="AC65" s="240">
        <v>8.8000000000000007</v>
      </c>
    </row>
    <row r="66" spans="9:29">
      <c r="I66" s="349">
        <f>$B$2</f>
        <v>0</v>
      </c>
      <c r="J66" s="241">
        <f>ROUND(J64+(J65-J64)/($I65-$I64)*($I66-$I64),2)</f>
        <v>2.88</v>
      </c>
      <c r="K66" s="240">
        <f>ROUND(K64+(K65-K64)/($I65-$I64)*($I66-$I64),2)</f>
        <v>2.88</v>
      </c>
      <c r="L66" s="350"/>
      <c r="M66" s="241">
        <f>ROUND(M64+(M65-M64)/($I65-$I64)*($I66-$I64),2)</f>
        <v>4.5</v>
      </c>
      <c r="N66" s="240">
        <f>ROUND(N64+(N65-N64)/($I65-$I64)*($I66-$I64),2)</f>
        <v>2.4</v>
      </c>
      <c r="Q66" s="349"/>
      <c r="R66" s="241"/>
      <c r="S66" s="240"/>
      <c r="T66" s="350"/>
      <c r="U66" s="241"/>
      <c r="V66" s="240"/>
      <c r="X66" s="349"/>
      <c r="Y66" s="241"/>
      <c r="Z66" s="240"/>
      <c r="AA66" s="350"/>
      <c r="AB66" s="241"/>
      <c r="AC66" s="240"/>
    </row>
    <row r="67" spans="9:29">
      <c r="I67" s="349"/>
      <c r="J67" s="241">
        <f>INDEX($Q$15:$AC$266,$T67+28*VLOOKUP($B$15,$D$2:$F$10,2,FALSE),2+VLOOKUP($B$16,$A$7:$B$8,2,FALSE))</f>
        <v>45</v>
      </c>
      <c r="K67" s="240">
        <f>INDEX($Q$15:$AC$266,$T67+28*VLOOKUP($B$15,$D$2:$F$10,2,FALSE),3+VLOOKUP($B$16,$A$7:$B$8,2,FALSE))</f>
        <v>5</v>
      </c>
      <c r="L67" s="350"/>
      <c r="M67" s="241">
        <f>INDEX($Q$15:$AC$266,$T67+28*VLOOKUP($B$15,$D$2:$F$10,2,FALSE),5+VLOOKUP($B$16,$A$7:$B$8,2,FALSE))</f>
        <v>45</v>
      </c>
      <c r="N67" s="240">
        <f>INDEX($Q$15:$AC$266,$T67+28*VLOOKUP($B$15,$D$2:$F$10,2,FALSE),6+VLOOKUP($B$16,$A$7:$B$8,2,FALSE))</f>
        <v>30</v>
      </c>
      <c r="Q67" s="349"/>
      <c r="R67" s="241">
        <v>45</v>
      </c>
      <c r="S67" s="240">
        <v>5</v>
      </c>
      <c r="T67" s="350"/>
      <c r="U67" s="241">
        <v>45</v>
      </c>
      <c r="V67" s="240">
        <v>30</v>
      </c>
      <c r="X67" s="349"/>
      <c r="Y67" s="241">
        <v>45</v>
      </c>
      <c r="Z67" s="240">
        <v>5</v>
      </c>
      <c r="AA67" s="350"/>
      <c r="AB67" s="241">
        <v>45</v>
      </c>
      <c r="AC67" s="240">
        <v>35</v>
      </c>
    </row>
    <row r="68" spans="9:29">
      <c r="I68" s="349">
        <f>INDEX($Q$15:$V$266,$T68+28*VLOOKUP($B$15,$D$2:$F$10,2,FALSE),1)</f>
        <v>1100</v>
      </c>
      <c r="J68" s="241">
        <f>INDEX($Q$15:$AC$266,$T68+28*VLOOKUP($B$15,$D$2:$F$10,2,FALSE),2+VLOOKUP($B$16,$A$7:$B$8,2,FALSE))</f>
        <v>8.33</v>
      </c>
      <c r="K68" s="240">
        <f>INDEX($Q$15:$AC$266,$T68+28*VLOOKUP($B$15,$D$2:$F$10,2,FALSE),3+VLOOKUP($B$16,$A$7:$B$8,2,FALSE))</f>
        <v>8.33</v>
      </c>
      <c r="L68" s="350"/>
      <c r="M68" s="241">
        <f>INDEX($Q$15:$AC$266,$T68+28*VLOOKUP($B$15,$D$2:$F$10,2,FALSE),5+VLOOKUP($B$16,$A$7:$B$8,2,FALSE))</f>
        <v>12.5</v>
      </c>
      <c r="N68" s="240">
        <f>INDEX($Q$15:$AC$266,$T68+28*VLOOKUP($B$15,$D$2:$F$10,2,FALSE),6+VLOOKUP($B$16,$A$7:$B$8,2,FALSE))</f>
        <v>8.11</v>
      </c>
      <c r="Q68" s="349">
        <v>1100</v>
      </c>
      <c r="R68" s="241">
        <v>8.33</v>
      </c>
      <c r="S68" s="240">
        <v>8.33</v>
      </c>
      <c r="T68" s="350"/>
      <c r="U68" s="241">
        <v>12.5</v>
      </c>
      <c r="V68" s="240">
        <v>8.11</v>
      </c>
      <c r="X68" s="349">
        <v>1100</v>
      </c>
      <c r="Y68" s="241">
        <v>7.64</v>
      </c>
      <c r="Z68" s="240">
        <v>7.64</v>
      </c>
      <c r="AA68" s="350"/>
      <c r="AB68" s="241">
        <v>11.9</v>
      </c>
      <c r="AC68" s="240">
        <v>7.06</v>
      </c>
    </row>
    <row r="69" spans="9:29">
      <c r="I69" s="349">
        <f>INDEX($Q$15:$V$266,$T69+28*VLOOKUP($B$15,$D$2:$F$10,2,FALSE),1)</f>
        <v>2000</v>
      </c>
      <c r="J69" s="241">
        <f>INDEX($Q$15:$AC$266,$T69+28*VLOOKUP($B$15,$D$2:$F$10,2,FALSE),2+VLOOKUP($B$16,$A$7:$B$8,2,FALSE))</f>
        <v>12.4</v>
      </c>
      <c r="K69" s="240">
        <f>INDEX($Q$15:$AC$266,$T69+28*VLOOKUP($B$15,$D$2:$F$10,2,FALSE),3+VLOOKUP($B$16,$A$7:$B$8,2,FALSE))</f>
        <v>12.4</v>
      </c>
      <c r="L69" s="350"/>
      <c r="M69" s="241">
        <f>INDEX($Q$15:$AC$266,$T69+28*VLOOKUP($B$15,$D$2:$F$10,2,FALSE),5+VLOOKUP($B$16,$A$7:$B$8,2,FALSE))</f>
        <v>17.2</v>
      </c>
      <c r="N69" s="240">
        <f>INDEX($Q$15:$AC$266,$T69+28*VLOOKUP($B$15,$D$2:$F$10,2,FALSE),6+VLOOKUP($B$16,$A$7:$B$8,2,FALSE))</f>
        <v>12.1</v>
      </c>
      <c r="Q69" s="349">
        <v>2000</v>
      </c>
      <c r="R69" s="241">
        <v>12.4</v>
      </c>
      <c r="S69" s="240">
        <v>12.4</v>
      </c>
      <c r="T69" s="350"/>
      <c r="U69" s="241">
        <v>17.2</v>
      </c>
      <c r="V69" s="240">
        <v>12.1</v>
      </c>
      <c r="X69" s="349">
        <v>2000</v>
      </c>
      <c r="Y69" s="241">
        <v>10.6</v>
      </c>
      <c r="Z69" s="240">
        <v>10.6</v>
      </c>
      <c r="AA69" s="350"/>
      <c r="AB69" s="241">
        <v>15</v>
      </c>
      <c r="AC69" s="240">
        <v>10.199999999999999</v>
      </c>
    </row>
    <row r="70" spans="9:29" ht="15" thickBot="1">
      <c r="I70" s="353">
        <f>$B$2</f>
        <v>0</v>
      </c>
      <c r="J70" s="221">
        <f>ROUND(J68+(J69-J68)/($I69-$I68)*($I70-$I68),2)</f>
        <v>3.36</v>
      </c>
      <c r="K70" s="223">
        <f>ROUND(K68+(K69-K68)/($I69-$I68)*($I70-$I68),2)</f>
        <v>3.36</v>
      </c>
      <c r="L70" s="354"/>
      <c r="M70" s="221">
        <f>ROUND(M68+(M69-M68)/($I69-$I68)*($I70-$I68),2)</f>
        <v>6.76</v>
      </c>
      <c r="N70" s="223">
        <f>ROUND(N68+(N69-N68)/($I69-$I68)*($I70-$I68),2)</f>
        <v>3.23</v>
      </c>
      <c r="Q70" s="353"/>
      <c r="R70" s="221"/>
      <c r="S70" s="223"/>
      <c r="T70" s="354"/>
      <c r="U70" s="221"/>
      <c r="V70" s="223"/>
      <c r="X70" s="353"/>
      <c r="Y70" s="221"/>
      <c r="Z70" s="223"/>
      <c r="AA70" s="354"/>
      <c r="AB70" s="221"/>
      <c r="AC70" s="223"/>
    </row>
    <row r="71" spans="9:29">
      <c r="P71" t="s">
        <v>368</v>
      </c>
      <c r="Q71" s="351"/>
      <c r="R71" s="271">
        <v>15</v>
      </c>
      <c r="S71" s="272">
        <v>30</v>
      </c>
      <c r="T71" s="355"/>
      <c r="U71" s="271">
        <v>16</v>
      </c>
      <c r="V71" s="272">
        <v>100</v>
      </c>
      <c r="X71" s="351"/>
      <c r="Y71" s="271">
        <v>15</v>
      </c>
      <c r="Z71" s="272">
        <v>30</v>
      </c>
      <c r="AA71" s="355"/>
      <c r="AB71" s="271">
        <v>15</v>
      </c>
      <c r="AC71" s="272">
        <v>100</v>
      </c>
    </row>
    <row r="72" spans="9:29">
      <c r="Q72" s="349">
        <v>1300</v>
      </c>
      <c r="R72" s="241">
        <v>0.92</v>
      </c>
      <c r="S72" s="240">
        <v>0.92</v>
      </c>
      <c r="T72" s="350"/>
      <c r="U72" s="241">
        <v>1.26</v>
      </c>
      <c r="V72" s="240">
        <v>0.39</v>
      </c>
      <c r="X72" s="349">
        <v>1300</v>
      </c>
      <c r="Y72" s="241">
        <v>1.38</v>
      </c>
      <c r="Z72" s="240">
        <v>1.38</v>
      </c>
      <c r="AA72" s="350"/>
      <c r="AB72" s="241">
        <v>1.96</v>
      </c>
      <c r="AC72" s="240">
        <v>0.69</v>
      </c>
    </row>
    <row r="73" spans="9:29">
      <c r="Q73" s="349">
        <v>2500</v>
      </c>
      <c r="R73" s="241">
        <v>1.29</v>
      </c>
      <c r="S73" s="240">
        <v>1.29</v>
      </c>
      <c r="T73" s="350"/>
      <c r="U73" s="241">
        <v>1.63</v>
      </c>
      <c r="V73" s="240">
        <v>0.57999999999999996</v>
      </c>
      <c r="X73" s="349">
        <v>2500</v>
      </c>
      <c r="Y73" s="241">
        <v>1.91</v>
      </c>
      <c r="Z73" s="240">
        <v>1.91</v>
      </c>
      <c r="AA73" s="350"/>
      <c r="AB73" s="241">
        <v>2.52</v>
      </c>
      <c r="AC73" s="240">
        <v>1</v>
      </c>
    </row>
    <row r="74" spans="9:29">
      <c r="Q74" s="349"/>
      <c r="R74" s="241"/>
      <c r="S74" s="240"/>
      <c r="T74" s="350"/>
      <c r="U74" s="241"/>
      <c r="V74" s="240"/>
      <c r="X74" s="349"/>
      <c r="Y74" s="241"/>
      <c r="Z74" s="240"/>
      <c r="AA74" s="350"/>
      <c r="AB74" s="241"/>
      <c r="AC74" s="240"/>
    </row>
    <row r="75" spans="9:29">
      <c r="Q75" s="349"/>
      <c r="R75" s="241">
        <v>20</v>
      </c>
      <c r="S75" s="240">
        <v>20</v>
      </c>
      <c r="T75" s="350"/>
      <c r="U75" s="241">
        <v>20</v>
      </c>
      <c r="V75" s="240">
        <v>100</v>
      </c>
      <c r="X75" s="349"/>
      <c r="Y75" s="241">
        <v>20</v>
      </c>
      <c r="Z75" s="240">
        <v>20</v>
      </c>
      <c r="AA75" s="350"/>
      <c r="AB75" s="241">
        <v>20</v>
      </c>
      <c r="AC75" s="240">
        <v>100</v>
      </c>
    </row>
    <row r="76" spans="9:29">
      <c r="Q76" s="349">
        <v>1300</v>
      </c>
      <c r="R76" s="241">
        <v>2.42</v>
      </c>
      <c r="S76" s="240">
        <v>2.42</v>
      </c>
      <c r="T76" s="350"/>
      <c r="U76" s="241">
        <v>4.8</v>
      </c>
      <c r="V76" s="240">
        <v>1.52</v>
      </c>
      <c r="X76" s="349">
        <v>1300</v>
      </c>
      <c r="Y76" s="241">
        <v>2.7</v>
      </c>
      <c r="Z76" s="240">
        <v>2.7</v>
      </c>
      <c r="AA76" s="350"/>
      <c r="AB76" s="241">
        <v>5.35</v>
      </c>
      <c r="AC76" s="240">
        <v>1.69</v>
      </c>
    </row>
    <row r="77" spans="9:29">
      <c r="Q77" s="349">
        <v>2500</v>
      </c>
      <c r="R77" s="241">
        <v>3.59</v>
      </c>
      <c r="S77" s="240">
        <v>3.59</v>
      </c>
      <c r="T77" s="350"/>
      <c r="U77" s="241">
        <v>6.86</v>
      </c>
      <c r="V77" s="240">
        <v>2.08</v>
      </c>
      <c r="X77" s="349">
        <v>2500</v>
      </c>
      <c r="Y77" s="241">
        <v>3.84</v>
      </c>
      <c r="Z77" s="240">
        <v>3.84</v>
      </c>
      <c r="AA77" s="350"/>
      <c r="AB77" s="241">
        <v>7.24</v>
      </c>
      <c r="AC77" s="240">
        <v>2.34</v>
      </c>
    </row>
    <row r="78" spans="9:29">
      <c r="Q78" s="349"/>
      <c r="R78" s="241"/>
      <c r="S78" s="240"/>
      <c r="T78" s="350"/>
      <c r="U78" s="241"/>
      <c r="V78" s="240"/>
      <c r="X78" s="349"/>
      <c r="Y78" s="241"/>
      <c r="Z78" s="240"/>
      <c r="AA78" s="350"/>
      <c r="AB78" s="241"/>
      <c r="AC78" s="240"/>
    </row>
    <row r="79" spans="9:29">
      <c r="Q79" s="349"/>
      <c r="R79" s="241">
        <v>25</v>
      </c>
      <c r="S79" s="240">
        <v>15</v>
      </c>
      <c r="T79" s="350"/>
      <c r="U79" s="241">
        <v>25</v>
      </c>
      <c r="V79" s="240">
        <v>73</v>
      </c>
      <c r="X79" s="349"/>
      <c r="Y79" s="241">
        <v>25</v>
      </c>
      <c r="Z79" s="240">
        <v>15</v>
      </c>
      <c r="AA79" s="350"/>
      <c r="AB79" s="241">
        <v>25</v>
      </c>
      <c r="AC79" s="240">
        <v>73</v>
      </c>
    </row>
    <row r="80" spans="9:29">
      <c r="Q80" s="349">
        <v>1300</v>
      </c>
      <c r="R80" s="241">
        <v>3.92</v>
      </c>
      <c r="S80" s="240">
        <v>3.92</v>
      </c>
      <c r="T80" s="350"/>
      <c r="U80" s="241">
        <v>6.16</v>
      </c>
      <c r="V80" s="240">
        <v>3.14</v>
      </c>
      <c r="X80" s="349">
        <v>1300</v>
      </c>
      <c r="Y80" s="241">
        <v>4.0199999999999996</v>
      </c>
      <c r="Z80" s="240">
        <v>4.0199999999999996</v>
      </c>
      <c r="AA80" s="350"/>
      <c r="AB80" s="241">
        <v>6.44</v>
      </c>
      <c r="AC80" s="240">
        <v>3.23</v>
      </c>
    </row>
    <row r="81" spans="17:29">
      <c r="Q81" s="349">
        <v>2500</v>
      </c>
      <c r="R81" s="241">
        <v>5.89</v>
      </c>
      <c r="S81" s="240">
        <v>5.89</v>
      </c>
      <c r="T81" s="350"/>
      <c r="U81" s="241">
        <v>8.92</v>
      </c>
      <c r="V81" s="240">
        <v>4.8600000000000003</v>
      </c>
      <c r="X81" s="349">
        <v>2500</v>
      </c>
      <c r="Y81" s="241">
        <v>5.79</v>
      </c>
      <c r="Z81" s="240">
        <v>5.79</v>
      </c>
      <c r="AA81" s="350"/>
      <c r="AB81" s="241">
        <v>8.74</v>
      </c>
      <c r="AC81" s="240">
        <v>4.7699999999999996</v>
      </c>
    </row>
    <row r="82" spans="17:29">
      <c r="Q82" s="349"/>
      <c r="R82" s="241"/>
      <c r="S82" s="240"/>
      <c r="T82" s="350"/>
      <c r="U82" s="241"/>
      <c r="V82" s="240"/>
      <c r="X82" s="349"/>
      <c r="Y82" s="241"/>
      <c r="Z82" s="240"/>
      <c r="AA82" s="350"/>
      <c r="AB82" s="241"/>
      <c r="AC82" s="240"/>
    </row>
    <row r="83" spans="17:29">
      <c r="Q83" s="349"/>
      <c r="R83" s="241">
        <v>30</v>
      </c>
      <c r="S83" s="240">
        <v>12</v>
      </c>
      <c r="T83" s="350"/>
      <c r="U83" s="241">
        <v>30</v>
      </c>
      <c r="V83" s="240">
        <v>56</v>
      </c>
      <c r="X83" s="349"/>
      <c r="Y83" s="241">
        <v>30</v>
      </c>
      <c r="Z83" s="240">
        <v>12</v>
      </c>
      <c r="AA83" s="350"/>
      <c r="AB83" s="241">
        <v>30</v>
      </c>
      <c r="AC83" s="240">
        <v>56</v>
      </c>
    </row>
    <row r="84" spans="17:29">
      <c r="Q84" s="349">
        <v>1300</v>
      </c>
      <c r="R84" s="241">
        <v>5.41</v>
      </c>
      <c r="S84" s="240">
        <v>5.41</v>
      </c>
      <c r="T84" s="350"/>
      <c r="U84" s="241">
        <v>7.95</v>
      </c>
      <c r="V84" s="240">
        <v>4.79</v>
      </c>
      <c r="X84" s="349">
        <v>1300</v>
      </c>
      <c r="Y84" s="241">
        <v>5.34</v>
      </c>
      <c r="Z84" s="240">
        <v>5.34</v>
      </c>
      <c r="AA84" s="350"/>
      <c r="AB84" s="241">
        <v>7.85</v>
      </c>
      <c r="AC84" s="240">
        <v>4.6100000000000003</v>
      </c>
    </row>
    <row r="85" spans="17:29">
      <c r="Q85" s="349">
        <v>2500</v>
      </c>
      <c r="R85" s="241">
        <v>8.2100000000000009</v>
      </c>
      <c r="S85" s="240">
        <v>8.2100000000000009</v>
      </c>
      <c r="T85" s="350"/>
      <c r="U85" s="241">
        <v>11.7</v>
      </c>
      <c r="V85" s="240">
        <v>7.49</v>
      </c>
      <c r="X85" s="349">
        <v>2500</v>
      </c>
      <c r="Y85" s="241">
        <v>7.72</v>
      </c>
      <c r="Z85" s="240">
        <v>7.72</v>
      </c>
      <c r="AA85" s="350"/>
      <c r="AB85" s="241">
        <v>10.7</v>
      </c>
      <c r="AC85" s="240">
        <v>7.06</v>
      </c>
    </row>
    <row r="86" spans="17:29">
      <c r="Q86" s="349"/>
      <c r="R86" s="241"/>
      <c r="S86" s="240"/>
      <c r="T86" s="350"/>
      <c r="U86" s="241"/>
      <c r="V86" s="240"/>
      <c r="X86" s="349"/>
      <c r="Y86" s="241"/>
      <c r="Z86" s="240"/>
      <c r="AA86" s="350"/>
      <c r="AB86" s="241"/>
      <c r="AC86" s="240"/>
    </row>
    <row r="87" spans="17:29">
      <c r="Q87" s="349"/>
      <c r="R87" s="241">
        <v>35</v>
      </c>
      <c r="S87" s="240">
        <v>9</v>
      </c>
      <c r="T87" s="350"/>
      <c r="U87" s="241">
        <v>35</v>
      </c>
      <c r="V87" s="240">
        <v>43</v>
      </c>
      <c r="X87" s="349"/>
      <c r="Y87" s="241">
        <v>35</v>
      </c>
      <c r="Z87" s="240">
        <v>9</v>
      </c>
      <c r="AA87" s="350"/>
      <c r="AB87" s="241">
        <v>35</v>
      </c>
      <c r="AC87" s="240">
        <v>43</v>
      </c>
    </row>
    <row r="88" spans="17:29">
      <c r="Q88" s="349">
        <v>1300</v>
      </c>
      <c r="R88" s="241">
        <v>6.9</v>
      </c>
      <c r="S88" s="240">
        <v>6.9</v>
      </c>
      <c r="T88" s="350"/>
      <c r="U88" s="241">
        <v>9.6300000000000008</v>
      </c>
      <c r="V88" s="240">
        <v>6.4</v>
      </c>
      <c r="X88" s="349">
        <v>1300</v>
      </c>
      <c r="Y88" s="241">
        <v>6.64</v>
      </c>
      <c r="Z88" s="240">
        <v>6.64</v>
      </c>
      <c r="AA88" s="350"/>
      <c r="AB88" s="241">
        <v>9.16</v>
      </c>
      <c r="AC88" s="240">
        <v>6.22</v>
      </c>
    </row>
    <row r="89" spans="17:29">
      <c r="Q89" s="349">
        <v>2500</v>
      </c>
      <c r="R89" s="241">
        <v>10.6</v>
      </c>
      <c r="S89" s="240">
        <v>10.6</v>
      </c>
      <c r="T89" s="350"/>
      <c r="U89" s="241">
        <v>14.3</v>
      </c>
      <c r="V89" s="240">
        <v>10.3</v>
      </c>
      <c r="X89" s="349">
        <v>2500</v>
      </c>
      <c r="Y89" s="241">
        <v>9.64</v>
      </c>
      <c r="Z89" s="240">
        <v>9.64</v>
      </c>
      <c r="AA89" s="350"/>
      <c r="AB89" s="241">
        <v>12.5</v>
      </c>
      <c r="AC89" s="240">
        <v>9.4600000000000009</v>
      </c>
    </row>
    <row r="90" spans="17:29">
      <c r="Q90" s="349"/>
      <c r="R90" s="241"/>
      <c r="S90" s="240"/>
      <c r="T90" s="350"/>
      <c r="U90" s="241"/>
      <c r="V90" s="240"/>
      <c r="X90" s="349"/>
      <c r="Y90" s="241"/>
      <c r="Z90" s="240"/>
      <c r="AA90" s="350"/>
      <c r="AB90" s="241"/>
      <c r="AC90" s="240"/>
    </row>
    <row r="91" spans="17:29">
      <c r="Q91" s="349"/>
      <c r="R91" s="241">
        <v>40</v>
      </c>
      <c r="S91" s="240">
        <v>7</v>
      </c>
      <c r="T91" s="350"/>
      <c r="U91" s="241">
        <v>40</v>
      </c>
      <c r="V91" s="240">
        <v>35</v>
      </c>
      <c r="X91" s="349"/>
      <c r="Y91" s="241">
        <v>40</v>
      </c>
      <c r="Z91" s="240">
        <v>7</v>
      </c>
      <c r="AA91" s="350"/>
      <c r="AB91" s="241">
        <v>40</v>
      </c>
      <c r="AC91" s="240">
        <v>40</v>
      </c>
    </row>
    <row r="92" spans="17:29">
      <c r="Q92" s="349">
        <v>1300</v>
      </c>
      <c r="R92" s="241">
        <v>8.39</v>
      </c>
      <c r="S92" s="240">
        <v>8.39</v>
      </c>
      <c r="T92" s="350"/>
      <c r="U92" s="241">
        <v>11.9</v>
      </c>
      <c r="V92" s="240">
        <v>8.08</v>
      </c>
      <c r="X92" s="349">
        <v>1300</v>
      </c>
      <c r="Y92" s="241">
        <v>7.95</v>
      </c>
      <c r="Z92" s="240">
        <v>7.95</v>
      </c>
      <c r="AA92" s="350"/>
      <c r="AB92" s="241">
        <v>12.3</v>
      </c>
      <c r="AC92" s="240">
        <v>7.35</v>
      </c>
    </row>
    <row r="93" spans="17:29">
      <c r="Q93" s="349">
        <v>2500</v>
      </c>
      <c r="R93" s="241">
        <v>12.9</v>
      </c>
      <c r="S93" s="240">
        <v>12.9</v>
      </c>
      <c r="T93" s="350"/>
      <c r="U93" s="241">
        <v>17.8</v>
      </c>
      <c r="V93" s="240">
        <v>12.9</v>
      </c>
      <c r="X93" s="349">
        <v>2500</v>
      </c>
      <c r="Y93" s="241">
        <v>11.5</v>
      </c>
      <c r="Z93" s="240">
        <v>11.5</v>
      </c>
      <c r="AA93" s="350"/>
      <c r="AB93" s="241">
        <v>16.7</v>
      </c>
      <c r="AC93" s="240">
        <v>11.2</v>
      </c>
    </row>
    <row r="94" spans="17:29">
      <c r="Q94" s="349"/>
      <c r="R94" s="241"/>
      <c r="S94" s="240"/>
      <c r="T94" s="350"/>
      <c r="U94" s="241"/>
      <c r="V94" s="240"/>
      <c r="X94" s="349"/>
      <c r="Y94" s="241"/>
      <c r="Z94" s="240"/>
      <c r="AA94" s="350"/>
      <c r="AB94" s="241"/>
      <c r="AC94" s="240"/>
    </row>
    <row r="95" spans="17:29">
      <c r="Q95" s="349"/>
      <c r="R95" s="241">
        <v>45</v>
      </c>
      <c r="S95" s="240">
        <v>5</v>
      </c>
      <c r="T95" s="350"/>
      <c r="U95" s="241">
        <v>45</v>
      </c>
      <c r="V95" s="240">
        <v>30</v>
      </c>
      <c r="X95" s="349"/>
      <c r="Y95" s="241">
        <v>45</v>
      </c>
      <c r="Z95" s="240">
        <v>5</v>
      </c>
      <c r="AA95" s="350"/>
      <c r="AB95" s="241">
        <v>45</v>
      </c>
      <c r="AC95" s="240">
        <v>35</v>
      </c>
    </row>
    <row r="96" spans="17:29">
      <c r="Q96" s="349">
        <v>1300</v>
      </c>
      <c r="R96" s="241">
        <v>9.89</v>
      </c>
      <c r="S96" s="240">
        <v>9.89</v>
      </c>
      <c r="T96" s="350"/>
      <c r="U96" s="241">
        <v>14.8</v>
      </c>
      <c r="V96" s="240">
        <v>9.6300000000000008</v>
      </c>
      <c r="X96" s="349">
        <v>1300</v>
      </c>
      <c r="Y96" s="241">
        <v>9.25</v>
      </c>
      <c r="Z96" s="240">
        <v>9.25</v>
      </c>
      <c r="AA96" s="350"/>
      <c r="AB96" s="241">
        <v>15</v>
      </c>
      <c r="AC96" s="240">
        <v>8.57</v>
      </c>
    </row>
    <row r="97" spans="16:29">
      <c r="Q97" s="349">
        <v>2500</v>
      </c>
      <c r="R97" s="241">
        <v>15.2</v>
      </c>
      <c r="S97" s="240">
        <v>15.2</v>
      </c>
      <c r="T97" s="350"/>
      <c r="U97" s="241">
        <v>20.8</v>
      </c>
      <c r="V97" s="240">
        <v>15</v>
      </c>
      <c r="X97" s="349">
        <v>2500</v>
      </c>
      <c r="Y97" s="241">
        <v>13.4</v>
      </c>
      <c r="Z97" s="240">
        <v>13.4</v>
      </c>
      <c r="AA97" s="350"/>
      <c r="AB97" s="241">
        <v>20.2</v>
      </c>
      <c r="AC97" s="240">
        <v>13.1</v>
      </c>
    </row>
    <row r="98" spans="16:29" ht="15" thickBot="1">
      <c r="Q98" s="353"/>
      <c r="R98" s="221"/>
      <c r="S98" s="223"/>
      <c r="T98" s="354"/>
      <c r="U98" s="221"/>
      <c r="V98" s="223"/>
      <c r="X98" s="353"/>
      <c r="Y98" s="221"/>
      <c r="Z98" s="223"/>
      <c r="AA98" s="354"/>
      <c r="AB98" s="221"/>
      <c r="AC98" s="223"/>
    </row>
    <row r="99" spans="16:29">
      <c r="P99" t="s">
        <v>369</v>
      </c>
      <c r="Q99" s="351"/>
      <c r="R99" s="271">
        <v>15</v>
      </c>
      <c r="S99" s="272">
        <v>30</v>
      </c>
      <c r="T99" s="355"/>
      <c r="U99" s="271">
        <v>15</v>
      </c>
      <c r="V99" s="272">
        <v>100</v>
      </c>
      <c r="X99" s="351"/>
      <c r="Y99" s="271">
        <v>15</v>
      </c>
      <c r="Z99" s="272">
        <v>30</v>
      </c>
      <c r="AA99" s="355"/>
      <c r="AB99" s="271">
        <v>15</v>
      </c>
      <c r="AC99" s="272">
        <v>100</v>
      </c>
    </row>
    <row r="100" spans="16:29">
      <c r="Q100" s="349">
        <v>1600</v>
      </c>
      <c r="R100" s="241">
        <v>1.24</v>
      </c>
      <c r="S100" s="240">
        <v>1.24</v>
      </c>
      <c r="T100" s="350"/>
      <c r="U100" s="241">
        <v>0.9</v>
      </c>
      <c r="V100" s="240">
        <v>0.32</v>
      </c>
      <c r="X100" s="349">
        <v>1600</v>
      </c>
      <c r="Y100" s="241">
        <v>1.81</v>
      </c>
      <c r="Z100" s="240">
        <v>1.81</v>
      </c>
      <c r="AA100" s="350"/>
      <c r="AB100" s="241">
        <v>2.71</v>
      </c>
      <c r="AC100" s="240">
        <v>1.01</v>
      </c>
    </row>
    <row r="101" spans="16:29">
      <c r="Q101" s="349">
        <v>3000</v>
      </c>
      <c r="R101" s="241">
        <v>1.75</v>
      </c>
      <c r="S101" s="240">
        <v>1.75</v>
      </c>
      <c r="T101" s="350"/>
      <c r="U101" s="241">
        <v>1.1200000000000001</v>
      </c>
      <c r="V101" s="240">
        <v>0.3</v>
      </c>
      <c r="X101" s="349">
        <v>3000</v>
      </c>
      <c r="Y101" s="241">
        <v>2.48</v>
      </c>
      <c r="Z101" s="240">
        <v>2.48</v>
      </c>
      <c r="AA101" s="350"/>
      <c r="AB101" s="241">
        <v>3.49</v>
      </c>
      <c r="AC101" s="240">
        <v>1.2</v>
      </c>
    </row>
    <row r="102" spans="16:29">
      <c r="Q102" s="349"/>
      <c r="R102" s="241"/>
      <c r="S102" s="240"/>
      <c r="T102" s="350"/>
      <c r="U102" s="241"/>
      <c r="V102" s="240"/>
      <c r="X102" s="349"/>
      <c r="Y102" s="241"/>
      <c r="Z102" s="240"/>
      <c r="AA102" s="350"/>
      <c r="AB102" s="241"/>
      <c r="AC102" s="240"/>
    </row>
    <row r="103" spans="16:29">
      <c r="Q103" s="349"/>
      <c r="R103" s="241">
        <v>20</v>
      </c>
      <c r="S103" s="240">
        <v>20</v>
      </c>
      <c r="T103" s="350"/>
      <c r="U103" s="241">
        <v>20</v>
      </c>
      <c r="V103" s="240">
        <v>100</v>
      </c>
      <c r="X103" s="349"/>
      <c r="Y103" s="241">
        <v>20</v>
      </c>
      <c r="Z103" s="240">
        <v>20</v>
      </c>
      <c r="AA103" s="350"/>
      <c r="AB103" s="241">
        <v>20</v>
      </c>
      <c r="AC103" s="240">
        <v>100</v>
      </c>
    </row>
    <row r="104" spans="16:29">
      <c r="Q104" s="349">
        <v>1600</v>
      </c>
      <c r="R104" s="241">
        <v>3.11</v>
      </c>
      <c r="S104" s="240">
        <v>3.11</v>
      </c>
      <c r="T104" s="350"/>
      <c r="U104" s="241">
        <v>6.4</v>
      </c>
      <c r="V104" s="240">
        <v>1.98</v>
      </c>
      <c r="X104" s="349">
        <v>1600</v>
      </c>
      <c r="Y104" s="241">
        <v>3.41</v>
      </c>
      <c r="Z104" s="240">
        <v>3.41</v>
      </c>
      <c r="AA104" s="350"/>
      <c r="AB104" s="241">
        <v>6.82</v>
      </c>
      <c r="AC104" s="240">
        <v>2.25</v>
      </c>
    </row>
    <row r="105" spans="16:29">
      <c r="Q105" s="349">
        <v>3000</v>
      </c>
      <c r="R105" s="241">
        <v>4.55</v>
      </c>
      <c r="S105" s="240">
        <v>4.55</v>
      </c>
      <c r="T105" s="350"/>
      <c r="U105" s="241">
        <v>9.1199999999999992</v>
      </c>
      <c r="V105" s="240">
        <v>2.9</v>
      </c>
      <c r="X105" s="349">
        <v>3000</v>
      </c>
      <c r="Y105" s="241">
        <v>4.78</v>
      </c>
      <c r="Z105" s="240">
        <v>4.78</v>
      </c>
      <c r="AA105" s="350"/>
      <c r="AB105" s="241">
        <v>9.0299999999999994</v>
      </c>
      <c r="AC105" s="240">
        <v>2.8</v>
      </c>
    </row>
    <row r="106" spans="16:29">
      <c r="Q106" s="349"/>
      <c r="R106" s="241"/>
      <c r="S106" s="240"/>
      <c r="T106" s="350"/>
      <c r="U106" s="241"/>
      <c r="V106" s="240"/>
      <c r="X106" s="349"/>
      <c r="Y106" s="241"/>
      <c r="Z106" s="240"/>
      <c r="AA106" s="350"/>
      <c r="AB106" s="241"/>
      <c r="AC106" s="240"/>
    </row>
    <row r="107" spans="16:29">
      <c r="Q107" s="349"/>
      <c r="R107" s="241">
        <v>25</v>
      </c>
      <c r="S107" s="240">
        <v>15</v>
      </c>
      <c r="T107" s="350"/>
      <c r="U107" s="241">
        <v>25</v>
      </c>
      <c r="V107" s="240">
        <v>73</v>
      </c>
      <c r="X107" s="349"/>
      <c r="Y107" s="241">
        <v>25</v>
      </c>
      <c r="Z107" s="240">
        <v>15</v>
      </c>
      <c r="AA107" s="350"/>
      <c r="AB107" s="241">
        <v>25</v>
      </c>
      <c r="AC107" s="240">
        <v>73</v>
      </c>
    </row>
    <row r="108" spans="16:29">
      <c r="Q108" s="349">
        <v>1600</v>
      </c>
      <c r="R108" s="241">
        <v>4.9400000000000004</v>
      </c>
      <c r="S108" s="240">
        <v>4.9400000000000004</v>
      </c>
      <c r="T108" s="350"/>
      <c r="U108" s="241">
        <v>8.09</v>
      </c>
      <c r="V108" s="240">
        <v>4.09</v>
      </c>
      <c r="X108" s="349">
        <v>1600</v>
      </c>
      <c r="Y108" s="241">
        <v>5.01</v>
      </c>
      <c r="Z108" s="240">
        <f>Y108</f>
        <v>5.01</v>
      </c>
      <c r="AA108" s="350"/>
      <c r="AB108" s="241">
        <v>8.09</v>
      </c>
      <c r="AC108" s="240">
        <v>3.98</v>
      </c>
    </row>
    <row r="109" spans="16:29">
      <c r="Q109" s="349">
        <v>3000</v>
      </c>
      <c r="R109" s="241">
        <v>7.35</v>
      </c>
      <c r="S109" s="240">
        <v>7.35</v>
      </c>
      <c r="T109" s="350"/>
      <c r="U109" s="241">
        <v>11.7</v>
      </c>
      <c r="V109" s="240">
        <v>6.24</v>
      </c>
      <c r="X109" s="349">
        <v>3000</v>
      </c>
      <c r="Y109" s="241">
        <v>7.06</v>
      </c>
      <c r="Z109" s="240">
        <f>Y109</f>
        <v>7.06</v>
      </c>
      <c r="AA109" s="350"/>
      <c r="AB109" s="241">
        <v>10.8</v>
      </c>
      <c r="AC109" s="240">
        <v>5.73</v>
      </c>
    </row>
    <row r="110" spans="16:29">
      <c r="Q110" s="349"/>
      <c r="R110" s="241"/>
      <c r="S110" s="240"/>
      <c r="T110" s="350"/>
      <c r="U110" s="241"/>
      <c r="V110" s="240"/>
      <c r="X110" s="349"/>
      <c r="Y110" s="241"/>
      <c r="Z110" s="240"/>
      <c r="AA110" s="350"/>
      <c r="AB110" s="241"/>
      <c r="AC110" s="240"/>
    </row>
    <row r="111" spans="16:29">
      <c r="Q111" s="349"/>
      <c r="R111" s="241">
        <v>30</v>
      </c>
      <c r="S111" s="240">
        <v>12</v>
      </c>
      <c r="T111" s="350"/>
      <c r="U111" s="241">
        <v>30</v>
      </c>
      <c r="V111" s="240">
        <v>56</v>
      </c>
      <c r="X111" s="349"/>
      <c r="Y111" s="241">
        <v>30</v>
      </c>
      <c r="Z111" s="240">
        <v>12</v>
      </c>
      <c r="AA111" s="350"/>
      <c r="AB111" s="241">
        <v>30</v>
      </c>
      <c r="AC111" s="240">
        <v>56</v>
      </c>
    </row>
    <row r="112" spans="16:29">
      <c r="Q112" s="349">
        <v>1600</v>
      </c>
      <c r="R112" s="241">
        <v>6.78</v>
      </c>
      <c r="S112" s="240">
        <v>6.78</v>
      </c>
      <c r="T112" s="350"/>
      <c r="U112" s="241">
        <v>10.3</v>
      </c>
      <c r="V112" s="240">
        <v>6</v>
      </c>
      <c r="X112" s="349">
        <v>1600</v>
      </c>
      <c r="Y112" s="241">
        <v>6.58</v>
      </c>
      <c r="Z112" s="240">
        <f>Y112</f>
        <v>6.58</v>
      </c>
      <c r="AA112" s="350"/>
      <c r="AB112" s="241">
        <v>9.74</v>
      </c>
      <c r="AC112" s="240">
        <v>5.84</v>
      </c>
    </row>
    <row r="113" spans="16:29">
      <c r="Q113" s="349">
        <v>3000</v>
      </c>
      <c r="R113" s="241">
        <v>10.199999999999999</v>
      </c>
      <c r="S113" s="240">
        <v>10.199999999999999</v>
      </c>
      <c r="T113" s="350"/>
      <c r="U113" s="241">
        <v>15</v>
      </c>
      <c r="V113" s="240">
        <v>9.4</v>
      </c>
      <c r="X113" s="349">
        <v>3000</v>
      </c>
      <c r="Y113" s="241">
        <v>9.3000000000000007</v>
      </c>
      <c r="Z113" s="240">
        <f>Y113</f>
        <v>9.3000000000000007</v>
      </c>
      <c r="AA113" s="350"/>
      <c r="AB113" s="241">
        <v>12.9</v>
      </c>
      <c r="AC113" s="240">
        <v>8.48</v>
      </c>
    </row>
    <row r="114" spans="16:29">
      <c r="Q114" s="349"/>
      <c r="R114" s="241"/>
      <c r="S114" s="240"/>
      <c r="T114" s="350"/>
      <c r="U114" s="241"/>
      <c r="V114" s="240"/>
      <c r="X114" s="349"/>
      <c r="Y114" s="241"/>
      <c r="Z114" s="240"/>
      <c r="AA114" s="350"/>
      <c r="AB114" s="241"/>
      <c r="AC114" s="240"/>
    </row>
    <row r="115" spans="16:29">
      <c r="Q115" s="349"/>
      <c r="R115" s="241">
        <v>35</v>
      </c>
      <c r="S115" s="240">
        <v>9</v>
      </c>
      <c r="T115" s="350"/>
      <c r="U115" s="241">
        <v>35</v>
      </c>
      <c r="V115" s="240">
        <v>43</v>
      </c>
      <c r="X115" s="349"/>
      <c r="Y115" s="241">
        <v>35</v>
      </c>
      <c r="Z115" s="240">
        <v>9</v>
      </c>
      <c r="AA115" s="350"/>
      <c r="AB115" s="241">
        <v>35</v>
      </c>
      <c r="AC115" s="240">
        <v>43</v>
      </c>
    </row>
    <row r="116" spans="16:29">
      <c r="Q116" s="349">
        <v>1600</v>
      </c>
      <c r="R116" s="241">
        <v>8.61</v>
      </c>
      <c r="S116" s="240">
        <v>8.61</v>
      </c>
      <c r="T116" s="350"/>
      <c r="U116" s="241">
        <v>12.4</v>
      </c>
      <c r="V116" s="240">
        <v>7.99</v>
      </c>
      <c r="X116" s="349">
        <v>1600</v>
      </c>
      <c r="Y116" s="241">
        <v>8.15</v>
      </c>
      <c r="Z116" s="240">
        <f>Y116</f>
        <v>8.15</v>
      </c>
      <c r="AA116" s="350"/>
      <c r="AB116" s="241">
        <v>11.3</v>
      </c>
      <c r="AC116" s="240">
        <v>7.6</v>
      </c>
    </row>
    <row r="117" spans="16:29">
      <c r="Q117" s="349">
        <v>3000</v>
      </c>
      <c r="R117" s="241">
        <v>13</v>
      </c>
      <c r="S117" s="240">
        <v>13</v>
      </c>
      <c r="T117" s="350"/>
      <c r="U117" s="241">
        <v>18.2</v>
      </c>
      <c r="V117" s="240">
        <v>12.6</v>
      </c>
      <c r="X117" s="349">
        <v>3000</v>
      </c>
      <c r="Y117" s="241">
        <v>11.5</v>
      </c>
      <c r="Z117" s="240">
        <f>Y117</f>
        <v>11.5</v>
      </c>
      <c r="AA117" s="350"/>
      <c r="AB117" s="241">
        <v>14.8</v>
      </c>
      <c r="AC117" s="240">
        <v>5.5</v>
      </c>
    </row>
    <row r="118" spans="16:29">
      <c r="Q118" s="349"/>
      <c r="R118" s="241"/>
      <c r="S118" s="240"/>
      <c r="T118" s="350"/>
      <c r="U118" s="241"/>
      <c r="V118" s="240"/>
      <c r="X118" s="349"/>
      <c r="Y118" s="241"/>
      <c r="Z118" s="240"/>
      <c r="AA118" s="350"/>
      <c r="AB118" s="241"/>
      <c r="AC118" s="240"/>
    </row>
    <row r="119" spans="16:29">
      <c r="Q119" s="349"/>
      <c r="R119" s="241">
        <v>40</v>
      </c>
      <c r="S119" s="240">
        <v>7</v>
      </c>
      <c r="T119" s="350"/>
      <c r="U119" s="241">
        <v>40</v>
      </c>
      <c r="V119" s="240">
        <v>35</v>
      </c>
      <c r="X119" s="349"/>
      <c r="Y119" s="241">
        <v>40</v>
      </c>
      <c r="Z119" s="240">
        <v>7</v>
      </c>
      <c r="AA119" s="350"/>
      <c r="AB119" s="241">
        <v>40</v>
      </c>
      <c r="AC119" s="240">
        <v>40</v>
      </c>
    </row>
    <row r="120" spans="16:29">
      <c r="Q120" s="349">
        <v>1600</v>
      </c>
      <c r="R120" s="241">
        <v>10.4</v>
      </c>
      <c r="S120" s="240">
        <v>10.4</v>
      </c>
      <c r="T120" s="350"/>
      <c r="U120" s="241">
        <v>15.2</v>
      </c>
      <c r="V120" s="240">
        <v>10.1</v>
      </c>
      <c r="X120" s="349">
        <v>1600</v>
      </c>
      <c r="Y120" s="241">
        <v>9.68</v>
      </c>
      <c r="Z120" s="240">
        <f>Y120</f>
        <v>9.68</v>
      </c>
      <c r="AA120" s="350"/>
      <c r="AB120" s="241">
        <v>14.8</v>
      </c>
      <c r="AC120" s="240">
        <v>8.8699999999999992</v>
      </c>
    </row>
    <row r="121" spans="16:29">
      <c r="Q121" s="349">
        <v>3000</v>
      </c>
      <c r="R121" s="241">
        <v>15.8</v>
      </c>
      <c r="S121" s="240">
        <v>15.8</v>
      </c>
      <c r="T121" s="350"/>
      <c r="U121" s="241">
        <v>21</v>
      </c>
      <c r="V121" s="240">
        <v>15.3</v>
      </c>
      <c r="X121" s="349">
        <v>3000</v>
      </c>
      <c r="Y121" s="241">
        <v>13.7</v>
      </c>
      <c r="Z121" s="240">
        <f>Y121</f>
        <v>13.7</v>
      </c>
      <c r="AA121" s="350"/>
      <c r="AB121" s="241">
        <v>19.3</v>
      </c>
      <c r="AC121" s="240">
        <v>13.2</v>
      </c>
    </row>
    <row r="122" spans="16:29">
      <c r="Q122" s="349"/>
      <c r="R122" s="241"/>
      <c r="S122" s="240"/>
      <c r="T122" s="350"/>
      <c r="U122" s="241"/>
      <c r="V122" s="240"/>
      <c r="X122" s="349"/>
      <c r="Y122" s="241"/>
      <c r="Z122" s="240"/>
      <c r="AA122" s="350"/>
      <c r="AB122" s="241"/>
      <c r="AC122" s="240"/>
    </row>
    <row r="123" spans="16:29">
      <c r="Q123" s="349"/>
      <c r="R123" s="241">
        <v>45</v>
      </c>
      <c r="S123" s="240">
        <v>5</v>
      </c>
      <c r="T123" s="350"/>
      <c r="U123" s="241">
        <v>45</v>
      </c>
      <c r="V123" s="240">
        <v>30</v>
      </c>
      <c r="X123" s="349"/>
      <c r="Y123" s="241">
        <v>45</v>
      </c>
      <c r="Z123" s="240">
        <v>5</v>
      </c>
      <c r="AA123" s="350"/>
      <c r="AB123" s="241">
        <v>45</v>
      </c>
      <c r="AC123" s="240">
        <v>35</v>
      </c>
    </row>
    <row r="124" spans="16:29">
      <c r="Q124" s="349">
        <v>1600</v>
      </c>
      <c r="R124" s="241">
        <v>12.3</v>
      </c>
      <c r="S124" s="240">
        <v>12.3</v>
      </c>
      <c r="T124" s="350"/>
      <c r="U124" s="241">
        <v>18.7</v>
      </c>
      <c r="V124" s="240">
        <v>12</v>
      </c>
      <c r="X124" s="349">
        <v>1600</v>
      </c>
      <c r="Y124" s="241">
        <v>11.2</v>
      </c>
      <c r="Z124" s="240">
        <f>Y124</f>
        <v>11.2</v>
      </c>
      <c r="AA124" s="350"/>
      <c r="AB124" s="241">
        <v>17.7</v>
      </c>
      <c r="AC124" s="240">
        <v>10.4</v>
      </c>
    </row>
    <row r="125" spans="16:29">
      <c r="Q125" s="349">
        <v>3000</v>
      </c>
      <c r="R125" s="241">
        <v>18.600000000000001</v>
      </c>
      <c r="S125" s="240">
        <v>18.600000000000001</v>
      </c>
      <c r="T125" s="350"/>
      <c r="U125" s="241">
        <v>24.5</v>
      </c>
      <c r="V125" s="240">
        <v>17.8</v>
      </c>
      <c r="X125" s="349">
        <v>3000</v>
      </c>
      <c r="Y125" s="241">
        <v>15.8</v>
      </c>
      <c r="Z125" s="240">
        <f>Y125</f>
        <v>15.8</v>
      </c>
      <c r="AA125" s="350"/>
      <c r="AB125" s="241">
        <v>22.9</v>
      </c>
      <c r="AC125" s="240">
        <v>15.4</v>
      </c>
    </row>
    <row r="126" spans="16:29" ht="15" thickBot="1">
      <c r="Q126" s="359"/>
      <c r="R126" s="221"/>
      <c r="S126" s="223"/>
      <c r="T126" s="354"/>
      <c r="U126" s="221"/>
      <c r="V126" s="223"/>
      <c r="X126" s="359"/>
      <c r="Y126" s="221"/>
      <c r="Z126" s="223"/>
      <c r="AA126" s="354"/>
      <c r="AB126" s="221"/>
      <c r="AC126" s="223"/>
    </row>
    <row r="127" spans="16:29">
      <c r="P127" t="s">
        <v>370</v>
      </c>
      <c r="Q127" s="360"/>
      <c r="R127" s="361">
        <v>15</v>
      </c>
      <c r="S127" s="272">
        <v>30</v>
      </c>
      <c r="T127" s="355"/>
      <c r="U127" s="271">
        <v>15</v>
      </c>
      <c r="V127" s="272">
        <v>100</v>
      </c>
      <c r="X127" s="360"/>
      <c r="Y127" s="361">
        <v>15</v>
      </c>
      <c r="Z127" s="272">
        <v>30</v>
      </c>
      <c r="AA127" s="355"/>
      <c r="AB127" s="271">
        <v>15</v>
      </c>
      <c r="AC127" s="272">
        <v>100</v>
      </c>
    </row>
    <row r="128" spans="16:29">
      <c r="Q128" s="362">
        <v>2000</v>
      </c>
      <c r="R128" s="358">
        <v>1.1499999999999999</v>
      </c>
      <c r="S128" s="240">
        <v>1.1499999999999999</v>
      </c>
      <c r="T128" s="350"/>
      <c r="U128" s="241">
        <v>1.08</v>
      </c>
      <c r="V128" s="240">
        <v>0.4</v>
      </c>
      <c r="X128" s="362">
        <v>2000</v>
      </c>
      <c r="Y128" s="358">
        <v>2.2799999999999998</v>
      </c>
      <c r="Z128" s="240">
        <f>Y128</f>
        <v>2.2799999999999998</v>
      </c>
      <c r="AA128" s="350"/>
      <c r="AB128" s="241">
        <v>3.48</v>
      </c>
      <c r="AC128" s="240">
        <v>1.27</v>
      </c>
    </row>
    <row r="129" spans="17:29">
      <c r="Q129" s="362">
        <v>3500</v>
      </c>
      <c r="R129" s="358">
        <v>2.04</v>
      </c>
      <c r="S129" s="240">
        <v>2.04</v>
      </c>
      <c r="T129" s="350"/>
      <c r="U129" s="241">
        <v>1.3</v>
      </c>
      <c r="V129" s="240">
        <v>0.35</v>
      </c>
      <c r="X129" s="362">
        <v>3500</v>
      </c>
      <c r="Y129" s="358">
        <v>3</v>
      </c>
      <c r="Z129" s="240">
        <f>Y129</f>
        <v>3</v>
      </c>
      <c r="AA129" s="350"/>
      <c r="AB129" s="241">
        <v>4.33</v>
      </c>
      <c r="AC129" s="240">
        <v>1.63</v>
      </c>
    </row>
    <row r="130" spans="17:29">
      <c r="Q130" s="362"/>
      <c r="R130" s="358"/>
      <c r="S130" s="240"/>
      <c r="T130" s="350"/>
      <c r="U130" s="241"/>
      <c r="V130" s="240"/>
      <c r="X130" s="362"/>
      <c r="Y130" s="358"/>
      <c r="Z130" s="240"/>
      <c r="AA130" s="350"/>
      <c r="AB130" s="241"/>
      <c r="AC130" s="240"/>
    </row>
    <row r="131" spans="17:29">
      <c r="Q131" s="362"/>
      <c r="R131" s="358">
        <v>20</v>
      </c>
      <c r="S131" s="240">
        <v>20</v>
      </c>
      <c r="T131" s="350"/>
      <c r="U131" s="241">
        <v>20</v>
      </c>
      <c r="V131" s="240">
        <v>100</v>
      </c>
      <c r="X131" s="362"/>
      <c r="Y131" s="358">
        <v>20</v>
      </c>
      <c r="Z131" s="240">
        <v>20</v>
      </c>
      <c r="AA131" s="350"/>
      <c r="AB131" s="241">
        <v>20</v>
      </c>
      <c r="AC131" s="240">
        <v>100</v>
      </c>
    </row>
    <row r="132" spans="17:29">
      <c r="Q132" s="362">
        <v>2000</v>
      </c>
      <c r="R132" s="358">
        <v>3.79</v>
      </c>
      <c r="S132" s="240">
        <v>3.79</v>
      </c>
      <c r="T132" s="350"/>
      <c r="U132" s="241">
        <v>7.78</v>
      </c>
      <c r="V132" s="240">
        <v>2.4700000000000002</v>
      </c>
      <c r="X132" s="362">
        <v>2000</v>
      </c>
      <c r="Y132" s="358">
        <v>4.21</v>
      </c>
      <c r="Z132" s="240">
        <f>Y132</f>
        <v>4.21</v>
      </c>
      <c r="AA132" s="350"/>
      <c r="AB132" s="241">
        <v>8.2799999999999994</v>
      </c>
      <c r="AC132" s="240">
        <v>2.67</v>
      </c>
    </row>
    <row r="133" spans="17:29">
      <c r="Q133" s="362">
        <v>3500</v>
      </c>
      <c r="R133" s="358">
        <v>5.31</v>
      </c>
      <c r="S133" s="240">
        <v>5.31</v>
      </c>
      <c r="T133" s="350"/>
      <c r="U133" s="241">
        <v>10.6</v>
      </c>
      <c r="V133" s="240">
        <v>3.39</v>
      </c>
      <c r="X133" s="362">
        <v>3500</v>
      </c>
      <c r="Y133" s="358">
        <v>5.63</v>
      </c>
      <c r="Z133" s="240">
        <f>Y133</f>
        <v>5.63</v>
      </c>
      <c r="AA133" s="350"/>
      <c r="AB133" s="241">
        <v>10.5</v>
      </c>
      <c r="AC133" s="240">
        <v>3.27</v>
      </c>
    </row>
    <row r="134" spans="17:29">
      <c r="Q134" s="362"/>
      <c r="R134" s="358"/>
      <c r="S134" s="240"/>
      <c r="T134" s="350"/>
      <c r="U134" s="241"/>
      <c r="V134" s="240"/>
      <c r="X134" s="362"/>
      <c r="Y134" s="358"/>
      <c r="Z134" s="240"/>
      <c r="AA134" s="350"/>
      <c r="AB134" s="241"/>
      <c r="AC134" s="240"/>
    </row>
    <row r="135" spans="17:29">
      <c r="Q135" s="362"/>
      <c r="R135" s="358">
        <v>25</v>
      </c>
      <c r="S135" s="240">
        <v>15</v>
      </c>
      <c r="T135" s="350"/>
      <c r="U135" s="241">
        <v>25</v>
      </c>
      <c r="V135" s="240">
        <v>73</v>
      </c>
      <c r="X135" s="362"/>
      <c r="Y135" s="358">
        <v>25</v>
      </c>
      <c r="Z135" s="240">
        <v>15</v>
      </c>
      <c r="AA135" s="350"/>
      <c r="AB135" s="241">
        <v>25</v>
      </c>
      <c r="AC135" s="240">
        <v>73</v>
      </c>
    </row>
    <row r="136" spans="17:29">
      <c r="Q136" s="362">
        <v>2000</v>
      </c>
      <c r="R136" s="358">
        <v>6.04</v>
      </c>
      <c r="S136" s="240">
        <v>6.04</v>
      </c>
      <c r="T136" s="350"/>
      <c r="U136" s="241">
        <v>9.84</v>
      </c>
      <c r="V136" s="240">
        <v>4.97</v>
      </c>
      <c r="X136" s="362">
        <v>2000</v>
      </c>
      <c r="Y136" s="358">
        <v>6.1</v>
      </c>
      <c r="Z136" s="240">
        <f>Y136</f>
        <v>6.1</v>
      </c>
      <c r="AA136" s="350"/>
      <c r="AB136" s="241">
        <v>9.6999999999999993</v>
      </c>
      <c r="AC136" s="240">
        <v>4.91</v>
      </c>
    </row>
    <row r="137" spans="17:29">
      <c r="Q137" s="362">
        <v>3500</v>
      </c>
      <c r="R137" s="358">
        <v>8.57</v>
      </c>
      <c r="S137" s="240">
        <v>8.57</v>
      </c>
      <c r="T137" s="350"/>
      <c r="U137" s="241">
        <v>13.6</v>
      </c>
      <c r="V137" s="240">
        <v>7.28</v>
      </c>
      <c r="X137" s="362">
        <v>3500</v>
      </c>
      <c r="Y137" s="358">
        <v>8.18</v>
      </c>
      <c r="Z137" s="240">
        <f>Y137</f>
        <v>8.18</v>
      </c>
      <c r="AA137" s="350"/>
      <c r="AB137" s="241">
        <v>12.2</v>
      </c>
      <c r="AC137" s="240">
        <v>6.68</v>
      </c>
    </row>
    <row r="138" spans="17:29">
      <c r="Q138" s="362"/>
      <c r="R138" s="358"/>
      <c r="S138" s="240"/>
      <c r="T138" s="350"/>
      <c r="U138" s="241"/>
      <c r="V138" s="240"/>
      <c r="X138" s="362"/>
      <c r="Y138" s="358"/>
      <c r="Z138" s="240"/>
      <c r="AA138" s="350"/>
      <c r="AB138" s="241"/>
      <c r="AC138" s="240"/>
    </row>
    <row r="139" spans="17:29">
      <c r="Q139" s="362"/>
      <c r="R139" s="358">
        <v>30</v>
      </c>
      <c r="S139" s="240">
        <v>12</v>
      </c>
      <c r="T139" s="350"/>
      <c r="U139" s="241">
        <v>30</v>
      </c>
      <c r="V139" s="240">
        <v>56</v>
      </c>
      <c r="X139" s="362"/>
      <c r="Y139" s="358">
        <v>30</v>
      </c>
      <c r="Z139" s="240">
        <v>12</v>
      </c>
      <c r="AA139" s="350"/>
      <c r="AB139" s="241">
        <v>30</v>
      </c>
      <c r="AC139" s="240">
        <v>56</v>
      </c>
    </row>
    <row r="140" spans="17:29">
      <c r="Q140" s="362">
        <v>2000</v>
      </c>
      <c r="R140" s="358">
        <v>8.2899999999999991</v>
      </c>
      <c r="S140" s="240">
        <v>8.2899999999999991</v>
      </c>
      <c r="T140" s="350"/>
      <c r="U140" s="241">
        <v>12.6</v>
      </c>
      <c r="V140" s="240">
        <v>7.43</v>
      </c>
      <c r="X140" s="362">
        <v>2000</v>
      </c>
      <c r="Y140" s="358">
        <v>7.95</v>
      </c>
      <c r="Z140" s="240">
        <f>Y140</f>
        <v>7.95</v>
      </c>
      <c r="AA140" s="350"/>
      <c r="AB140" s="241">
        <v>11.6</v>
      </c>
      <c r="AC140" s="240">
        <v>7.02</v>
      </c>
    </row>
    <row r="141" spans="17:29">
      <c r="Q141" s="362">
        <v>3500</v>
      </c>
      <c r="R141" s="358">
        <v>11.8</v>
      </c>
      <c r="S141" s="240">
        <v>11.8</v>
      </c>
      <c r="T141" s="350"/>
      <c r="U141" s="241">
        <v>17.5</v>
      </c>
      <c r="V141" s="240">
        <v>11</v>
      </c>
      <c r="X141" s="362">
        <v>3500</v>
      </c>
      <c r="Y141" s="358">
        <v>10.7</v>
      </c>
      <c r="Z141" s="240">
        <f>Y141</f>
        <v>10.7</v>
      </c>
      <c r="AA141" s="350"/>
      <c r="AB141" s="241">
        <v>14.4</v>
      </c>
      <c r="AC141" s="240">
        <v>9.5299999999999994</v>
      </c>
    </row>
    <row r="142" spans="17:29">
      <c r="Q142" s="362"/>
      <c r="R142" s="358"/>
      <c r="S142" s="240"/>
      <c r="T142" s="350"/>
      <c r="U142" s="241"/>
      <c r="V142" s="240"/>
      <c r="X142" s="362"/>
      <c r="Y142" s="358"/>
      <c r="Z142" s="240"/>
      <c r="AA142" s="350"/>
      <c r="AB142" s="241"/>
      <c r="AC142" s="240"/>
    </row>
    <row r="143" spans="17:29">
      <c r="Q143" s="362"/>
      <c r="R143" s="358">
        <v>35</v>
      </c>
      <c r="S143" s="240">
        <v>9</v>
      </c>
      <c r="T143" s="350"/>
      <c r="U143" s="241">
        <v>35</v>
      </c>
      <c r="V143" s="240">
        <v>43</v>
      </c>
      <c r="X143" s="362"/>
      <c r="Y143" s="358">
        <v>35</v>
      </c>
      <c r="Z143" s="240">
        <v>9</v>
      </c>
      <c r="AA143" s="350"/>
      <c r="AB143" s="241">
        <v>35</v>
      </c>
      <c r="AC143" s="240">
        <v>45</v>
      </c>
    </row>
    <row r="144" spans="17:29">
      <c r="Q144" s="362">
        <v>2000</v>
      </c>
      <c r="R144" s="358">
        <v>10.5</v>
      </c>
      <c r="S144" s="240">
        <v>10.5</v>
      </c>
      <c r="T144" s="350"/>
      <c r="U144" s="241">
        <v>15.1</v>
      </c>
      <c r="V144" s="240">
        <v>9.92</v>
      </c>
      <c r="X144" s="362">
        <v>2000</v>
      </c>
      <c r="Y144" s="358">
        <v>9.77</v>
      </c>
      <c r="Z144" s="240">
        <f>Y144</f>
        <v>9.77</v>
      </c>
      <c r="AA144" s="350"/>
      <c r="AB144" s="241">
        <v>13.7</v>
      </c>
      <c r="AC144" s="240">
        <v>8.8800000000000008</v>
      </c>
    </row>
    <row r="145" spans="16:29">
      <c r="Q145" s="362">
        <v>3500</v>
      </c>
      <c r="R145" s="358">
        <v>15.1</v>
      </c>
      <c r="S145" s="240">
        <v>15.1</v>
      </c>
      <c r="T145" s="350"/>
      <c r="U145" s="241">
        <v>21.2</v>
      </c>
      <c r="V145" s="240">
        <v>14.7</v>
      </c>
      <c r="X145" s="362">
        <v>3500</v>
      </c>
      <c r="Y145" s="358">
        <v>13.1</v>
      </c>
      <c r="Z145" s="240">
        <f>Y145</f>
        <v>13.1</v>
      </c>
      <c r="AA145" s="350"/>
      <c r="AB145" s="241">
        <v>17</v>
      </c>
      <c r="AC145" s="240">
        <v>12.6</v>
      </c>
    </row>
    <row r="146" spans="16:29">
      <c r="Q146" s="362"/>
      <c r="R146" s="358"/>
      <c r="S146" s="240"/>
      <c r="T146" s="350"/>
      <c r="U146" s="241"/>
      <c r="V146" s="240"/>
      <c r="X146" s="362"/>
      <c r="Y146" s="358"/>
      <c r="Z146" s="240"/>
      <c r="AA146" s="350"/>
      <c r="AB146" s="241"/>
      <c r="AC146" s="240"/>
    </row>
    <row r="147" spans="16:29">
      <c r="Q147" s="362"/>
      <c r="R147" s="358">
        <v>40</v>
      </c>
      <c r="S147" s="240">
        <v>7</v>
      </c>
      <c r="T147" s="350"/>
      <c r="U147" s="241">
        <v>40</v>
      </c>
      <c r="V147" s="240">
        <v>35</v>
      </c>
      <c r="X147" s="362"/>
      <c r="Y147" s="358">
        <v>40</v>
      </c>
      <c r="Z147" s="240">
        <v>7</v>
      </c>
      <c r="AA147" s="350"/>
      <c r="AB147" s="241">
        <v>40</v>
      </c>
      <c r="AC147" s="240">
        <v>40</v>
      </c>
    </row>
    <row r="148" spans="16:29">
      <c r="Q148" s="362">
        <v>2000</v>
      </c>
      <c r="R148" s="358">
        <v>12.8</v>
      </c>
      <c r="S148" s="240">
        <v>12.8</v>
      </c>
      <c r="T148" s="350"/>
      <c r="U148" s="241">
        <v>18.600000000000001</v>
      </c>
      <c r="V148" s="240">
        <v>12.3</v>
      </c>
      <c r="X148" s="362">
        <v>2000</v>
      </c>
      <c r="Y148" s="358">
        <v>11.6</v>
      </c>
      <c r="Z148" s="240">
        <f>Y148</f>
        <v>11.6</v>
      </c>
      <c r="AA148" s="350"/>
      <c r="AB148" s="241">
        <v>17</v>
      </c>
      <c r="AC148" s="240">
        <v>10.5</v>
      </c>
    </row>
    <row r="149" spans="16:29">
      <c r="Q149" s="362">
        <v>3500</v>
      </c>
      <c r="R149" s="358">
        <v>18.399999999999999</v>
      </c>
      <c r="S149" s="240">
        <v>18.399999999999999</v>
      </c>
      <c r="T149" s="350"/>
      <c r="U149" s="241">
        <v>24.5</v>
      </c>
      <c r="V149" s="240">
        <v>17.8</v>
      </c>
      <c r="X149" s="362">
        <v>3500</v>
      </c>
      <c r="Y149" s="358">
        <v>15.4</v>
      </c>
      <c r="Z149" s="240">
        <f>Y149</f>
        <v>15.4</v>
      </c>
      <c r="AA149" s="350"/>
      <c r="AB149" s="241">
        <v>20.8</v>
      </c>
      <c r="AC149" s="240">
        <v>14.8</v>
      </c>
    </row>
    <row r="150" spans="16:29">
      <c r="Q150" s="362"/>
      <c r="R150" s="358"/>
      <c r="S150" s="240"/>
      <c r="T150" s="350"/>
      <c r="U150" s="241"/>
      <c r="V150" s="240"/>
      <c r="X150" s="362"/>
      <c r="Y150" s="358"/>
      <c r="Z150" s="240"/>
      <c r="AA150" s="350"/>
      <c r="AB150" s="241"/>
      <c r="AC150" s="240"/>
    </row>
    <row r="151" spans="16:29">
      <c r="Q151" s="362"/>
      <c r="R151" s="358">
        <v>45</v>
      </c>
      <c r="S151" s="240">
        <v>5</v>
      </c>
      <c r="T151" s="350"/>
      <c r="U151" s="241">
        <v>45</v>
      </c>
      <c r="V151" s="240">
        <v>30</v>
      </c>
      <c r="X151" s="362"/>
      <c r="Y151" s="358">
        <v>45</v>
      </c>
      <c r="Z151" s="240">
        <v>5</v>
      </c>
      <c r="AA151" s="350"/>
      <c r="AB151" s="241">
        <v>45</v>
      </c>
      <c r="AC151" s="240">
        <v>35</v>
      </c>
    </row>
    <row r="152" spans="16:29">
      <c r="Q152" s="362">
        <v>2000</v>
      </c>
      <c r="R152" s="358">
        <v>15</v>
      </c>
      <c r="S152" s="240">
        <v>15</v>
      </c>
      <c r="T152" s="350"/>
      <c r="U152" s="241">
        <v>22.5</v>
      </c>
      <c r="V152" s="240">
        <v>14.5</v>
      </c>
      <c r="X152" s="362">
        <v>2000</v>
      </c>
      <c r="Y152" s="358">
        <v>13.3</v>
      </c>
      <c r="Z152" s="240">
        <f>Y152</f>
        <v>13.3</v>
      </c>
      <c r="AA152" s="350"/>
      <c r="AB152" s="241">
        <v>20</v>
      </c>
      <c r="AC152" s="240">
        <v>12.1</v>
      </c>
    </row>
    <row r="153" spans="16:29">
      <c r="Q153" s="362">
        <v>3500</v>
      </c>
      <c r="R153" s="358">
        <v>21.6</v>
      </c>
      <c r="S153" s="240">
        <v>21.6</v>
      </c>
      <c r="T153" s="350"/>
      <c r="U153" s="241">
        <v>28.6</v>
      </c>
      <c r="V153" s="240">
        <v>20.7</v>
      </c>
      <c r="X153" s="362">
        <v>3500</v>
      </c>
      <c r="Y153" s="358">
        <v>17.7</v>
      </c>
      <c r="Z153" s="240">
        <f>Y153</f>
        <v>17.7</v>
      </c>
      <c r="AA153" s="350"/>
      <c r="AB153" s="241">
        <v>25.1</v>
      </c>
      <c r="AC153" s="240">
        <v>12.4</v>
      </c>
    </row>
    <row r="154" spans="16:29" ht="15" thickBot="1">
      <c r="Q154" s="363"/>
      <c r="R154" s="364"/>
      <c r="S154" s="223"/>
      <c r="T154" s="354"/>
      <c r="U154" s="221"/>
      <c r="V154" s="223"/>
      <c r="X154" s="363"/>
      <c r="Y154" s="364"/>
      <c r="Z154" s="223"/>
      <c r="AA154" s="354"/>
      <c r="AB154" s="221"/>
      <c r="AC154" s="223"/>
    </row>
    <row r="155" spans="16:29">
      <c r="P155" t="s">
        <v>371</v>
      </c>
      <c r="Q155" s="351"/>
      <c r="R155" s="271">
        <v>15</v>
      </c>
      <c r="S155" s="272">
        <v>30</v>
      </c>
      <c r="T155" s="355"/>
      <c r="U155" s="271">
        <v>15</v>
      </c>
      <c r="V155" s="272">
        <v>100</v>
      </c>
      <c r="X155" s="351"/>
      <c r="Y155" s="271">
        <v>15</v>
      </c>
      <c r="Z155" s="272">
        <v>30</v>
      </c>
      <c r="AA155" s="355"/>
      <c r="AB155" s="271">
        <v>15</v>
      </c>
      <c r="AC155" s="272">
        <v>100</v>
      </c>
    </row>
    <row r="156" spans="16:29">
      <c r="Q156" s="349">
        <v>2500</v>
      </c>
      <c r="R156" s="241">
        <v>2.1</v>
      </c>
      <c r="S156" s="240">
        <v>2.1</v>
      </c>
      <c r="T156" s="350"/>
      <c r="U156" s="241">
        <v>1.78</v>
      </c>
      <c r="V156" s="240">
        <v>0.67</v>
      </c>
      <c r="X156" s="349">
        <v>2500</v>
      </c>
      <c r="Y156" s="241">
        <v>2.97</v>
      </c>
      <c r="Z156" s="240">
        <f>Y156</f>
        <v>2.97</v>
      </c>
      <c r="AA156" s="350"/>
      <c r="AB156" s="241">
        <v>4.5999999999999996</v>
      </c>
      <c r="AC156" s="240">
        <v>1.58</v>
      </c>
    </row>
    <row r="157" spans="16:29">
      <c r="Q157" s="349">
        <v>4500</v>
      </c>
      <c r="R157" s="241">
        <v>2.9</v>
      </c>
      <c r="S157" s="240">
        <v>2.9</v>
      </c>
      <c r="T157" s="350"/>
      <c r="U157" s="241">
        <v>2.2200000000000002</v>
      </c>
      <c r="V157" s="240">
        <v>0.9</v>
      </c>
      <c r="X157" s="349">
        <v>4500</v>
      </c>
      <c r="Y157" s="241">
        <v>3.99</v>
      </c>
      <c r="Z157" s="240">
        <f>Y157</f>
        <v>3.99</v>
      </c>
      <c r="AA157" s="350"/>
      <c r="AB157" s="241">
        <v>5.83</v>
      </c>
      <c r="AC157" s="240">
        <v>2.4</v>
      </c>
    </row>
    <row r="158" spans="16:29">
      <c r="Q158" s="349"/>
      <c r="R158" s="241"/>
      <c r="S158" s="240"/>
      <c r="T158" s="350"/>
      <c r="U158" s="241"/>
      <c r="V158" s="240"/>
      <c r="X158" s="349"/>
      <c r="Y158" s="241"/>
      <c r="Z158" s="240"/>
      <c r="AA158" s="350"/>
      <c r="AB158" s="241"/>
      <c r="AC158" s="240"/>
    </row>
    <row r="159" spans="16:29">
      <c r="Q159" s="349"/>
      <c r="R159" s="241">
        <v>20</v>
      </c>
      <c r="S159" s="240">
        <v>20</v>
      </c>
      <c r="T159" s="350"/>
      <c r="U159" s="241">
        <v>20</v>
      </c>
      <c r="V159" s="240">
        <v>100</v>
      </c>
      <c r="X159" s="349"/>
      <c r="Y159" s="241">
        <v>20</v>
      </c>
      <c r="Z159" s="240">
        <v>20</v>
      </c>
      <c r="AA159" s="350"/>
      <c r="AB159" s="241">
        <v>20</v>
      </c>
      <c r="AC159" s="240">
        <v>100</v>
      </c>
    </row>
    <row r="160" spans="16:29">
      <c r="Q160" s="349">
        <v>2500</v>
      </c>
      <c r="R160" s="241">
        <v>5.03</v>
      </c>
      <c r="S160" s="240">
        <v>5.03</v>
      </c>
      <c r="T160" s="350"/>
      <c r="U160" s="241">
        <v>10.7</v>
      </c>
      <c r="V160" s="240">
        <v>3.43</v>
      </c>
      <c r="X160" s="349">
        <v>2500</v>
      </c>
      <c r="Y160" s="241">
        <v>5.45</v>
      </c>
      <c r="Z160" s="240">
        <f>Y160</f>
        <v>5.45</v>
      </c>
      <c r="AA160" s="350"/>
      <c r="AB160" s="241">
        <v>10.8</v>
      </c>
      <c r="AC160" s="240">
        <v>3.51</v>
      </c>
    </row>
    <row r="161" spans="17:29">
      <c r="Q161" s="349">
        <v>4500</v>
      </c>
      <c r="R161" s="241">
        <v>7.22</v>
      </c>
      <c r="S161" s="240">
        <v>7.22</v>
      </c>
      <c r="T161" s="350"/>
      <c r="U161" s="241">
        <v>14.9</v>
      </c>
      <c r="V161" s="240">
        <v>4.66</v>
      </c>
      <c r="X161" s="349">
        <v>4500</v>
      </c>
      <c r="Y161" s="241">
        <v>7.45</v>
      </c>
      <c r="Z161" s="240">
        <f>Y161</f>
        <v>7.45</v>
      </c>
      <c r="AA161" s="350"/>
      <c r="AB161" s="241">
        <v>14</v>
      </c>
      <c r="AC161" s="240">
        <v>4.2</v>
      </c>
    </row>
    <row r="162" spans="17:29">
      <c r="Q162" s="349"/>
      <c r="R162" s="241"/>
      <c r="S162" s="240"/>
      <c r="T162" s="350"/>
      <c r="U162" s="241"/>
      <c r="V162" s="240"/>
      <c r="X162" s="349"/>
      <c r="Y162" s="241"/>
      <c r="Z162" s="240"/>
      <c r="AA162" s="350"/>
      <c r="AB162" s="241"/>
      <c r="AC162" s="240"/>
    </row>
    <row r="163" spans="17:29">
      <c r="Q163" s="349"/>
      <c r="R163" s="241">
        <v>25</v>
      </c>
      <c r="S163" s="240">
        <v>15</v>
      </c>
      <c r="T163" s="350"/>
      <c r="U163" s="241">
        <v>25</v>
      </c>
      <c r="V163" s="240">
        <v>73</v>
      </c>
      <c r="X163" s="349"/>
      <c r="Y163" s="241">
        <v>25</v>
      </c>
      <c r="Z163" s="240">
        <v>15</v>
      </c>
      <c r="AA163" s="350"/>
      <c r="AB163" s="241">
        <v>25</v>
      </c>
      <c r="AC163" s="240">
        <v>73</v>
      </c>
    </row>
    <row r="164" spans="17:29">
      <c r="Q164" s="349">
        <v>2500</v>
      </c>
      <c r="R164" s="241">
        <v>7.91</v>
      </c>
      <c r="S164" s="240">
        <v>7.91</v>
      </c>
      <c r="T164" s="350"/>
      <c r="U164" s="241">
        <v>13.3</v>
      </c>
      <c r="V164" s="240">
        <v>6.73</v>
      </c>
      <c r="X164" s="349">
        <v>2500</v>
      </c>
      <c r="Y164" s="241">
        <v>7.89</v>
      </c>
      <c r="Z164" s="240">
        <f>Y164</f>
        <v>7.89</v>
      </c>
      <c r="AA164" s="350"/>
      <c r="AB164" s="241">
        <v>12.7</v>
      </c>
      <c r="AC164" s="240">
        <v>6.3</v>
      </c>
    </row>
    <row r="165" spans="17:29">
      <c r="Q165" s="349">
        <v>4500</v>
      </c>
      <c r="R165" s="241">
        <v>11.5</v>
      </c>
      <c r="S165" s="240">
        <v>11.5</v>
      </c>
      <c r="T165" s="350"/>
      <c r="U165" s="241">
        <v>18.899999999999999</v>
      </c>
      <c r="V165" s="240">
        <v>9.9700000000000006</v>
      </c>
      <c r="X165" s="349">
        <v>4500</v>
      </c>
      <c r="Y165" s="241">
        <v>10.8</v>
      </c>
      <c r="Z165" s="240">
        <f>Y165</f>
        <v>10.8</v>
      </c>
      <c r="AA165" s="350"/>
      <c r="AB165" s="241">
        <v>16.399999999999999</v>
      </c>
      <c r="AC165" s="240">
        <v>8.75</v>
      </c>
    </row>
    <row r="166" spans="17:29">
      <c r="Q166" s="349"/>
      <c r="R166" s="241"/>
      <c r="S166" s="240"/>
      <c r="T166" s="350"/>
      <c r="U166" s="241"/>
      <c r="V166" s="240"/>
      <c r="X166" s="349"/>
      <c r="Y166" s="241"/>
      <c r="Z166" s="240"/>
      <c r="AA166" s="350"/>
      <c r="AB166" s="241"/>
      <c r="AC166" s="240"/>
    </row>
    <row r="167" spans="17:29">
      <c r="Q167" s="349"/>
      <c r="R167" s="241">
        <v>30</v>
      </c>
      <c r="S167" s="240">
        <v>12</v>
      </c>
      <c r="T167" s="350"/>
      <c r="U167" s="241">
        <v>30</v>
      </c>
      <c r="V167" s="240">
        <v>56</v>
      </c>
      <c r="X167" s="349"/>
      <c r="Y167" s="241">
        <v>30</v>
      </c>
      <c r="Z167" s="240">
        <v>12</v>
      </c>
      <c r="AA167" s="350"/>
      <c r="AB167" s="241">
        <v>30</v>
      </c>
      <c r="AC167" s="240">
        <v>56</v>
      </c>
    </row>
    <row r="168" spans="17:29">
      <c r="Q168" s="349">
        <v>2500</v>
      </c>
      <c r="R168" s="241">
        <v>10.8</v>
      </c>
      <c r="S168" s="240">
        <v>10.8</v>
      </c>
      <c r="T168" s="350"/>
      <c r="U168" s="241">
        <v>16.8</v>
      </c>
      <c r="V168" s="240">
        <v>9.7200000000000006</v>
      </c>
      <c r="X168" s="349">
        <v>2500</v>
      </c>
      <c r="Y168" s="241">
        <v>10.3</v>
      </c>
      <c r="Z168" s="240">
        <f>Y168</f>
        <v>10.3</v>
      </c>
      <c r="AA168" s="350"/>
      <c r="AB168" s="241">
        <v>15.1</v>
      </c>
      <c r="AC168" s="240">
        <v>8.7799999999999994</v>
      </c>
    </row>
    <row r="169" spans="17:29">
      <c r="Q169" s="349">
        <v>4500</v>
      </c>
      <c r="R169" s="241">
        <v>15.8</v>
      </c>
      <c r="S169" s="240">
        <v>15.8</v>
      </c>
      <c r="T169" s="350"/>
      <c r="U169" s="241">
        <v>24</v>
      </c>
      <c r="V169" s="240">
        <v>14.7</v>
      </c>
      <c r="X169" s="349">
        <v>4500</v>
      </c>
      <c r="Y169" s="241">
        <v>14.1</v>
      </c>
      <c r="Z169" s="240">
        <f>Y169</f>
        <v>14.1</v>
      </c>
      <c r="AA169" s="350"/>
      <c r="AB169" s="241">
        <v>19.3</v>
      </c>
      <c r="AC169" s="240">
        <v>12.9</v>
      </c>
    </row>
    <row r="170" spans="17:29">
      <c r="Q170" s="349"/>
      <c r="R170" s="241"/>
      <c r="S170" s="240"/>
      <c r="T170" s="350"/>
      <c r="U170" s="241"/>
      <c r="V170" s="240"/>
      <c r="X170" s="349"/>
      <c r="Y170" s="241"/>
      <c r="Z170" s="240"/>
      <c r="AA170" s="350"/>
      <c r="AB170" s="241"/>
      <c r="AC170" s="240"/>
    </row>
    <row r="171" spans="17:29">
      <c r="Q171" s="349"/>
      <c r="R171" s="241">
        <v>35</v>
      </c>
      <c r="S171" s="240">
        <v>9</v>
      </c>
      <c r="T171" s="350"/>
      <c r="U171" s="241">
        <v>35</v>
      </c>
      <c r="V171" s="240">
        <v>43</v>
      </c>
      <c r="X171" s="349"/>
      <c r="Y171" s="241">
        <v>35</v>
      </c>
      <c r="Z171" s="240">
        <v>9</v>
      </c>
      <c r="AA171" s="350"/>
      <c r="AB171" s="241">
        <v>35</v>
      </c>
      <c r="AC171" s="240">
        <v>45</v>
      </c>
    </row>
    <row r="172" spans="17:29">
      <c r="Q172" s="349">
        <v>2500</v>
      </c>
      <c r="R172" s="241">
        <v>13.6</v>
      </c>
      <c r="S172" s="240">
        <v>13.6</v>
      </c>
      <c r="T172" s="350"/>
      <c r="U172" s="241">
        <v>20.100000000000001</v>
      </c>
      <c r="V172" s="240">
        <v>12.8</v>
      </c>
      <c r="X172" s="349">
        <v>2500</v>
      </c>
      <c r="Y172" s="241">
        <v>12.6</v>
      </c>
      <c r="Z172" s="240">
        <f>Y172</f>
        <v>12.6</v>
      </c>
      <c r="AA172" s="350"/>
      <c r="AB172" s="241">
        <v>18</v>
      </c>
      <c r="AC172" s="240">
        <v>11.5</v>
      </c>
    </row>
    <row r="173" spans="17:29">
      <c r="Q173" s="349">
        <v>4500</v>
      </c>
      <c r="R173" s="241">
        <v>20.100000000000001</v>
      </c>
      <c r="S173" s="240">
        <v>20.100000000000001</v>
      </c>
      <c r="T173" s="350"/>
      <c r="U173" s="241">
        <v>27.1</v>
      </c>
      <c r="V173" s="240">
        <v>19</v>
      </c>
      <c r="X173" s="349">
        <v>4500</v>
      </c>
      <c r="Y173" s="241">
        <v>17.3</v>
      </c>
      <c r="Z173" s="240">
        <f>Y173</f>
        <v>17.3</v>
      </c>
      <c r="AA173" s="350"/>
      <c r="AB173" s="241">
        <v>22.8</v>
      </c>
      <c r="AC173" s="240">
        <v>16.600000000000001</v>
      </c>
    </row>
    <row r="174" spans="17:29">
      <c r="Q174" s="349"/>
      <c r="R174" s="241"/>
      <c r="S174" s="240"/>
      <c r="T174" s="350"/>
      <c r="U174" s="241"/>
      <c r="V174" s="240"/>
      <c r="X174" s="349"/>
      <c r="Y174" s="241"/>
      <c r="Z174" s="240"/>
      <c r="AA174" s="350"/>
      <c r="AB174" s="241"/>
      <c r="AC174" s="240"/>
    </row>
    <row r="175" spans="17:29">
      <c r="Q175" s="349"/>
      <c r="R175" s="241">
        <v>40</v>
      </c>
      <c r="S175" s="240">
        <v>7</v>
      </c>
      <c r="T175" s="350"/>
      <c r="U175" s="241">
        <v>40</v>
      </c>
      <c r="V175" s="240">
        <v>35</v>
      </c>
      <c r="X175" s="349"/>
      <c r="Y175" s="241">
        <v>40</v>
      </c>
      <c r="Z175" s="240">
        <v>7</v>
      </c>
      <c r="AA175" s="350"/>
      <c r="AB175" s="241">
        <v>40</v>
      </c>
      <c r="AC175" s="240">
        <v>40</v>
      </c>
    </row>
    <row r="176" spans="17:29">
      <c r="Q176" s="349">
        <v>2500</v>
      </c>
      <c r="R176" s="241">
        <v>16.5</v>
      </c>
      <c r="S176" s="240">
        <v>16.5</v>
      </c>
      <c r="T176" s="350"/>
      <c r="U176" s="241">
        <v>24.5</v>
      </c>
      <c r="V176" s="240">
        <v>15.9</v>
      </c>
      <c r="X176" s="349">
        <v>2500</v>
      </c>
      <c r="Y176" s="241">
        <v>15</v>
      </c>
      <c r="Z176" s="240">
        <f>Y176</f>
        <v>15</v>
      </c>
      <c r="AA176" s="350"/>
      <c r="AB176" s="241">
        <v>22.4</v>
      </c>
      <c r="AC176" s="240">
        <v>13.7</v>
      </c>
    </row>
    <row r="177" spans="16:29">
      <c r="Q177" s="349">
        <v>4500</v>
      </c>
      <c r="R177" s="241">
        <v>24.4</v>
      </c>
      <c r="S177" s="240">
        <v>24.4</v>
      </c>
      <c r="T177" s="350"/>
      <c r="U177" s="241">
        <v>30.9</v>
      </c>
      <c r="V177" s="240">
        <v>22.6</v>
      </c>
      <c r="X177" s="349">
        <v>4500</v>
      </c>
      <c r="Y177" s="241">
        <v>20.399999999999999</v>
      </c>
      <c r="Z177" s="240">
        <f>Y177</f>
        <v>20.399999999999999</v>
      </c>
      <c r="AA177" s="350"/>
      <c r="AB177" s="241">
        <v>27.9</v>
      </c>
      <c r="AC177" s="240">
        <v>19.5</v>
      </c>
    </row>
    <row r="178" spans="16:29">
      <c r="Q178" s="349"/>
      <c r="R178" s="241"/>
      <c r="S178" s="240"/>
      <c r="T178" s="350"/>
      <c r="U178" s="241"/>
      <c r="V178" s="240"/>
      <c r="X178" s="349"/>
      <c r="Y178" s="241"/>
      <c r="Z178" s="240"/>
      <c r="AA178" s="350"/>
      <c r="AB178" s="241"/>
      <c r="AC178" s="240"/>
    </row>
    <row r="179" spans="16:29">
      <c r="Q179" s="349"/>
      <c r="R179" s="241">
        <v>45</v>
      </c>
      <c r="S179" s="240">
        <v>5</v>
      </c>
      <c r="T179" s="350"/>
      <c r="U179" s="241">
        <v>45</v>
      </c>
      <c r="V179" s="240">
        <v>30</v>
      </c>
      <c r="X179" s="349"/>
      <c r="Y179" s="241">
        <v>45</v>
      </c>
      <c r="Z179" s="240">
        <v>5</v>
      </c>
      <c r="AA179" s="350"/>
      <c r="AB179" s="241">
        <v>45</v>
      </c>
      <c r="AC179" s="240">
        <v>35</v>
      </c>
    </row>
    <row r="180" spans="16:29">
      <c r="Q180" s="349">
        <v>2500</v>
      </c>
      <c r="R180" s="241">
        <v>19.399999999999999</v>
      </c>
      <c r="S180" s="240">
        <v>19.399999999999999</v>
      </c>
      <c r="T180" s="350"/>
      <c r="U180" s="241">
        <v>29.7</v>
      </c>
      <c r="V180" s="240">
        <v>18.600000000000001</v>
      </c>
      <c r="X180" s="349">
        <v>2500</v>
      </c>
      <c r="Y180" s="241">
        <v>17.2</v>
      </c>
      <c r="Z180" s="240">
        <f>Y180</f>
        <v>17.2</v>
      </c>
      <c r="AA180" s="350"/>
      <c r="AB180" s="241">
        <v>26.4</v>
      </c>
      <c r="AC180" s="240">
        <v>15.8</v>
      </c>
    </row>
    <row r="181" spans="16:29">
      <c r="Q181" s="349">
        <v>4500</v>
      </c>
      <c r="R181" s="241">
        <v>28.7</v>
      </c>
      <c r="S181" s="240">
        <v>28.7</v>
      </c>
      <c r="T181" s="350"/>
      <c r="U181" s="241">
        <v>36.9</v>
      </c>
      <c r="V181" s="240">
        <v>26.8</v>
      </c>
      <c r="X181" s="349">
        <v>4500</v>
      </c>
      <c r="Y181" s="241">
        <v>23.4</v>
      </c>
      <c r="Z181" s="240">
        <f>Y181</f>
        <v>23.4</v>
      </c>
      <c r="AA181" s="350"/>
      <c r="AB181" s="241">
        <v>34.5</v>
      </c>
      <c r="AC181" s="240">
        <v>23.2</v>
      </c>
    </row>
    <row r="182" spans="16:29" ht="15" thickBot="1">
      <c r="Q182" s="353"/>
      <c r="R182" s="221"/>
      <c r="S182" s="223"/>
      <c r="T182" s="354"/>
      <c r="U182" s="221"/>
      <c r="V182" s="223"/>
      <c r="X182" s="353"/>
      <c r="Y182" s="221"/>
      <c r="Z182" s="223"/>
      <c r="AA182" s="354"/>
      <c r="AB182" s="221"/>
      <c r="AC182" s="223"/>
    </row>
    <row r="183" spans="16:29">
      <c r="P183" t="s">
        <v>372</v>
      </c>
      <c r="Q183" s="351"/>
      <c r="R183" s="271">
        <v>15</v>
      </c>
      <c r="S183" s="272">
        <v>30</v>
      </c>
      <c r="T183" s="355"/>
      <c r="U183" s="271">
        <v>15</v>
      </c>
      <c r="V183" s="272">
        <v>100</v>
      </c>
      <c r="X183" s="351"/>
      <c r="Y183" s="271">
        <v>15</v>
      </c>
      <c r="Z183" s="272">
        <v>30</v>
      </c>
      <c r="AA183" s="355"/>
      <c r="AB183" s="271">
        <v>15</v>
      </c>
      <c r="AC183" s="272">
        <v>100</v>
      </c>
    </row>
    <row r="184" spans="16:29">
      <c r="Q184" s="349">
        <v>3600</v>
      </c>
      <c r="R184" s="241">
        <v>3.18</v>
      </c>
      <c r="S184" s="240">
        <v>3.18</v>
      </c>
      <c r="T184" s="350"/>
      <c r="U184" s="241">
        <v>3.01</v>
      </c>
      <c r="V184" s="240">
        <v>0.96</v>
      </c>
      <c r="X184" s="349">
        <v>3600</v>
      </c>
      <c r="Y184" s="241">
        <v>4.24</v>
      </c>
      <c r="Z184" s="240">
        <f>Y184</f>
        <v>4.24</v>
      </c>
      <c r="AA184" s="350"/>
      <c r="AB184" s="241">
        <v>6.58</v>
      </c>
      <c r="AC184" s="240">
        <v>2.2799999999999998</v>
      </c>
    </row>
    <row r="185" spans="16:29">
      <c r="Q185" s="349">
        <v>6500</v>
      </c>
      <c r="R185" s="241">
        <v>4.4400000000000004</v>
      </c>
      <c r="S185" s="240">
        <v>4.4400000000000004</v>
      </c>
      <c r="T185" s="350"/>
      <c r="U185" s="241">
        <v>3.84</v>
      </c>
      <c r="V185" s="240">
        <v>1.3</v>
      </c>
      <c r="X185" s="349">
        <v>6500</v>
      </c>
      <c r="Y185" s="241">
        <v>5.58</v>
      </c>
      <c r="Z185" s="240">
        <f>Y185</f>
        <v>5.58</v>
      </c>
      <c r="AA185" s="350"/>
      <c r="AB185" s="241">
        <v>8.06</v>
      </c>
      <c r="AC185" s="240">
        <v>3.03</v>
      </c>
    </row>
    <row r="186" spans="16:29">
      <c r="Q186" s="349"/>
      <c r="R186" s="241"/>
      <c r="S186" s="240"/>
      <c r="T186" s="350"/>
      <c r="U186" s="241"/>
      <c r="V186" s="240"/>
      <c r="X186" s="349"/>
      <c r="Y186" s="241"/>
      <c r="Z186" s="240"/>
      <c r="AA186" s="350"/>
      <c r="AB186" s="241"/>
      <c r="AC186" s="240"/>
    </row>
    <row r="187" spans="16:29">
      <c r="Q187" s="349"/>
      <c r="R187" s="241">
        <v>20</v>
      </c>
      <c r="S187" s="240">
        <v>20</v>
      </c>
      <c r="T187" s="350"/>
      <c r="U187" s="241">
        <v>20</v>
      </c>
      <c r="V187" s="240">
        <v>100</v>
      </c>
      <c r="X187" s="349"/>
      <c r="Y187" s="241">
        <v>20</v>
      </c>
      <c r="Z187" s="240">
        <v>20</v>
      </c>
      <c r="AA187" s="350"/>
      <c r="AB187" s="241">
        <v>20</v>
      </c>
      <c r="AC187" s="240">
        <v>100</v>
      </c>
    </row>
    <row r="188" spans="16:29">
      <c r="Q188" s="349">
        <v>3600</v>
      </c>
      <c r="R188" s="241">
        <v>7.44</v>
      </c>
      <c r="S188" s="240">
        <v>7.44</v>
      </c>
      <c r="T188" s="350"/>
      <c r="U188" s="241">
        <v>16</v>
      </c>
      <c r="V188" s="240">
        <v>5.18</v>
      </c>
      <c r="X188" s="349">
        <v>3600</v>
      </c>
      <c r="Y188" s="241">
        <v>7.84</v>
      </c>
      <c r="Z188" s="240">
        <f>Y188</f>
        <v>7.84</v>
      </c>
      <c r="AA188" s="350"/>
      <c r="AB188" s="241">
        <v>15.7</v>
      </c>
      <c r="AC188" s="240">
        <v>5.0599999999999996</v>
      </c>
    </row>
    <row r="189" spans="16:29">
      <c r="Q189" s="349">
        <v>6500</v>
      </c>
      <c r="R189" s="241">
        <v>10.7</v>
      </c>
      <c r="S189" s="240">
        <v>10.7</v>
      </c>
      <c r="T189" s="350"/>
      <c r="U189" s="241">
        <v>22.7</v>
      </c>
      <c r="V189" s="240">
        <v>7.16</v>
      </c>
      <c r="X189" s="349">
        <v>6500</v>
      </c>
      <c r="Y189" s="241">
        <v>10.7</v>
      </c>
      <c r="Z189" s="240">
        <f>Y189</f>
        <v>10.7</v>
      </c>
      <c r="AA189" s="350"/>
      <c r="AB189" s="241">
        <v>20.5</v>
      </c>
      <c r="AC189" s="240">
        <v>6.51</v>
      </c>
    </row>
    <row r="190" spans="16:29">
      <c r="Q190" s="349"/>
      <c r="R190" s="241"/>
      <c r="S190" s="240"/>
      <c r="T190" s="350"/>
      <c r="U190" s="241"/>
      <c r="V190" s="240"/>
      <c r="X190" s="349"/>
      <c r="Y190" s="241"/>
      <c r="Z190" s="240"/>
      <c r="AA190" s="350"/>
      <c r="AB190" s="241"/>
      <c r="AC190" s="240"/>
    </row>
    <row r="191" spans="16:29">
      <c r="Q191" s="349"/>
      <c r="R191" s="241">
        <v>25</v>
      </c>
      <c r="S191" s="240">
        <v>15</v>
      </c>
      <c r="T191" s="350"/>
      <c r="U191" s="241">
        <v>25</v>
      </c>
      <c r="V191" s="240">
        <v>73</v>
      </c>
      <c r="X191" s="349"/>
      <c r="Y191" s="241">
        <v>25</v>
      </c>
      <c r="Z191" s="240">
        <v>15</v>
      </c>
      <c r="AA191" s="350"/>
      <c r="AB191" s="241">
        <v>25</v>
      </c>
      <c r="AC191" s="240">
        <v>73</v>
      </c>
    </row>
    <row r="192" spans="16:29">
      <c r="Q192" s="349">
        <v>3600</v>
      </c>
      <c r="R192" s="241">
        <v>11.6</v>
      </c>
      <c r="S192" s="240">
        <v>11.6</v>
      </c>
      <c r="T192" s="350"/>
      <c r="U192" s="241">
        <v>19.899999999999999</v>
      </c>
      <c r="V192" s="240">
        <v>9.69</v>
      </c>
      <c r="X192" s="349">
        <v>3600</v>
      </c>
      <c r="Y192" s="241">
        <v>11.4</v>
      </c>
      <c r="Z192" s="240">
        <f>Y192</f>
        <v>11.4</v>
      </c>
      <c r="AA192" s="350"/>
      <c r="AB192" s="241">
        <v>18.5</v>
      </c>
      <c r="AC192" s="240">
        <v>9.32</v>
      </c>
    </row>
    <row r="193" spans="17:29">
      <c r="Q193" s="349">
        <v>6500</v>
      </c>
      <c r="R193" s="241">
        <v>16.899999999999999</v>
      </c>
      <c r="S193" s="240">
        <v>16.899999999999999</v>
      </c>
      <c r="T193" s="350"/>
      <c r="U193" s="241">
        <v>28.4</v>
      </c>
      <c r="V193" s="240">
        <v>14.4</v>
      </c>
      <c r="X193" s="349">
        <v>6500</v>
      </c>
      <c r="Y193" s="241">
        <v>15.7</v>
      </c>
      <c r="Z193" s="240">
        <f>Y193</f>
        <v>15.7</v>
      </c>
      <c r="AA193" s="350"/>
      <c r="AB193" s="241">
        <v>24.3</v>
      </c>
      <c r="AC193" s="240">
        <v>12.4</v>
      </c>
    </row>
    <row r="194" spans="17:29">
      <c r="Q194" s="349"/>
      <c r="R194" s="241"/>
      <c r="S194" s="240"/>
      <c r="T194" s="350"/>
      <c r="U194" s="241"/>
      <c r="V194" s="240"/>
      <c r="X194" s="349"/>
      <c r="Y194" s="241"/>
      <c r="Z194" s="240"/>
      <c r="AA194" s="350"/>
      <c r="AB194" s="241"/>
      <c r="AC194" s="240"/>
    </row>
    <row r="195" spans="17:29">
      <c r="Q195" s="349"/>
      <c r="R195" s="241">
        <v>30</v>
      </c>
      <c r="S195" s="240">
        <v>12</v>
      </c>
      <c r="T195" s="350"/>
      <c r="U195" s="241">
        <v>30</v>
      </c>
      <c r="V195" s="240">
        <v>50</v>
      </c>
      <c r="X195" s="349"/>
      <c r="Y195" s="241">
        <v>30</v>
      </c>
      <c r="Z195" s="240">
        <v>12</v>
      </c>
      <c r="AA195" s="350"/>
      <c r="AB195" s="241">
        <v>30</v>
      </c>
      <c r="AC195" s="240">
        <v>56</v>
      </c>
    </row>
    <row r="196" spans="17:29">
      <c r="Q196" s="349">
        <v>3600</v>
      </c>
      <c r="R196" s="241">
        <v>15.7</v>
      </c>
      <c r="S196" s="240">
        <v>15.7</v>
      </c>
      <c r="T196" s="350"/>
      <c r="U196" s="241">
        <v>21.6</v>
      </c>
      <c r="V196" s="240">
        <v>14.6</v>
      </c>
      <c r="X196" s="349">
        <v>3600</v>
      </c>
      <c r="Y196" s="241">
        <v>14.9</v>
      </c>
      <c r="Z196" s="240">
        <f>Y196</f>
        <v>14.9</v>
      </c>
      <c r="AA196" s="350"/>
      <c r="AB196" s="241">
        <v>22</v>
      </c>
      <c r="AC196" s="240">
        <v>13.1</v>
      </c>
    </row>
    <row r="197" spans="17:29">
      <c r="Q197" s="349">
        <v>6500</v>
      </c>
      <c r="R197" s="241">
        <v>23.1</v>
      </c>
      <c r="S197" s="240">
        <v>23.1</v>
      </c>
      <c r="T197" s="350"/>
      <c r="U197" s="241">
        <v>30.9</v>
      </c>
      <c r="V197" s="240">
        <v>21.9</v>
      </c>
      <c r="X197" s="349">
        <v>6500</v>
      </c>
      <c r="Y197" s="241">
        <v>20.6</v>
      </c>
      <c r="Z197" s="240">
        <f>Y197</f>
        <v>20.6</v>
      </c>
      <c r="AA197" s="350"/>
      <c r="AB197" s="241">
        <v>29.1</v>
      </c>
      <c r="AC197" s="240">
        <v>18.600000000000001</v>
      </c>
    </row>
    <row r="198" spans="17:29">
      <c r="Q198" s="349"/>
      <c r="R198" s="241"/>
      <c r="S198" s="240"/>
      <c r="T198" s="350"/>
      <c r="U198" s="241"/>
      <c r="V198" s="240"/>
      <c r="X198" s="349"/>
      <c r="Y198" s="241"/>
      <c r="Z198" s="240"/>
      <c r="AA198" s="350"/>
      <c r="AB198" s="241"/>
      <c r="AC198" s="240"/>
    </row>
    <row r="199" spans="17:29">
      <c r="Q199" s="349"/>
      <c r="R199" s="241">
        <v>35</v>
      </c>
      <c r="S199" s="240">
        <v>9</v>
      </c>
      <c r="T199" s="350"/>
      <c r="U199" s="241">
        <v>35</v>
      </c>
      <c r="V199" s="240">
        <v>43</v>
      </c>
      <c r="X199" s="349"/>
      <c r="Y199" s="241">
        <v>35</v>
      </c>
      <c r="Z199" s="240">
        <v>9</v>
      </c>
      <c r="AA199" s="350"/>
      <c r="AB199" s="241">
        <v>35</v>
      </c>
      <c r="AC199" s="240">
        <v>45</v>
      </c>
    </row>
    <row r="200" spans="17:29">
      <c r="Q200" s="349">
        <v>3600</v>
      </c>
      <c r="R200" s="241">
        <v>19.8</v>
      </c>
      <c r="S200" s="240">
        <v>19.8</v>
      </c>
      <c r="T200" s="350"/>
      <c r="U200" s="241">
        <v>27.5</v>
      </c>
      <c r="V200" s="240">
        <v>18.899999999999999</v>
      </c>
      <c r="X200" s="349">
        <v>3600</v>
      </c>
      <c r="Y200" s="241">
        <v>18.3</v>
      </c>
      <c r="Z200" s="240">
        <f>Y200</f>
        <v>18.3</v>
      </c>
      <c r="AA200" s="350"/>
      <c r="AB200" s="241">
        <v>26.4</v>
      </c>
      <c r="AC200" s="240">
        <v>16.600000000000001</v>
      </c>
    </row>
    <row r="201" spans="17:29">
      <c r="Q201" s="349">
        <v>6500</v>
      </c>
      <c r="R201" s="241">
        <v>29.3</v>
      </c>
      <c r="S201" s="240">
        <v>29.3</v>
      </c>
      <c r="T201" s="350"/>
      <c r="U201" s="241">
        <v>36.5</v>
      </c>
      <c r="V201" s="240">
        <v>27.7</v>
      </c>
      <c r="X201" s="349">
        <v>6500</v>
      </c>
      <c r="Y201" s="241">
        <v>25.5</v>
      </c>
      <c r="Z201" s="240">
        <f>Y201</f>
        <v>25.5</v>
      </c>
      <c r="AA201" s="350"/>
      <c r="AB201" s="241">
        <v>34.799999999999997</v>
      </c>
      <c r="AC201" s="240">
        <v>24.8</v>
      </c>
    </row>
    <row r="202" spans="17:29">
      <c r="Q202" s="349"/>
      <c r="R202" s="241"/>
      <c r="S202" s="240"/>
      <c r="T202" s="350"/>
      <c r="U202" s="241"/>
      <c r="V202" s="240"/>
      <c r="X202" s="349"/>
      <c r="Y202" s="241"/>
      <c r="Z202" s="240"/>
      <c r="AA202" s="350"/>
      <c r="AB202" s="241"/>
      <c r="AC202" s="240"/>
    </row>
    <row r="203" spans="17:29">
      <c r="Q203" s="349"/>
      <c r="R203" s="241">
        <v>40</v>
      </c>
      <c r="S203" s="240">
        <v>7</v>
      </c>
      <c r="T203" s="350"/>
      <c r="U203" s="241">
        <v>40</v>
      </c>
      <c r="V203" s="240">
        <v>35</v>
      </c>
      <c r="X203" s="349"/>
      <c r="Y203" s="241">
        <v>40</v>
      </c>
      <c r="Z203" s="240">
        <v>7</v>
      </c>
      <c r="AA203" s="350"/>
      <c r="AB203" s="241">
        <v>40</v>
      </c>
      <c r="AC203" s="240">
        <v>40</v>
      </c>
    </row>
    <row r="204" spans="17:29">
      <c r="Q204" s="349">
        <v>3600</v>
      </c>
      <c r="R204" s="241">
        <v>24</v>
      </c>
      <c r="S204" s="240">
        <v>24</v>
      </c>
      <c r="T204" s="350"/>
      <c r="U204" s="241">
        <v>35.5</v>
      </c>
      <c r="V204" s="240">
        <v>23.1</v>
      </c>
      <c r="X204" s="349">
        <v>3600</v>
      </c>
      <c r="Y204" s="241">
        <v>21.7</v>
      </c>
      <c r="Z204" s="240">
        <f>Y204</f>
        <v>21.7</v>
      </c>
      <c r="AA204" s="350"/>
      <c r="AB204" s="241">
        <v>32.799999999999997</v>
      </c>
      <c r="AC204" s="240">
        <v>20</v>
      </c>
    </row>
    <row r="205" spans="17:29">
      <c r="Q205" s="349">
        <v>6500</v>
      </c>
      <c r="R205" s="241">
        <v>35.6</v>
      </c>
      <c r="S205" s="240">
        <v>35.6</v>
      </c>
      <c r="T205" s="350"/>
      <c r="U205" s="241">
        <v>45.2</v>
      </c>
      <c r="V205" s="240">
        <v>32.700000000000003</v>
      </c>
      <c r="X205" s="349">
        <v>6500</v>
      </c>
      <c r="Y205" s="241">
        <v>30.3</v>
      </c>
      <c r="Z205" s="240">
        <f>Y205</f>
        <v>30.3</v>
      </c>
      <c r="AA205" s="350"/>
      <c r="AB205" s="241">
        <v>43.4</v>
      </c>
      <c r="AC205" s="240">
        <v>28.6</v>
      </c>
    </row>
    <row r="206" spans="17:29">
      <c r="Q206" s="349"/>
      <c r="R206" s="241"/>
      <c r="S206" s="240"/>
      <c r="T206" s="350"/>
      <c r="U206" s="241"/>
      <c r="V206" s="240"/>
      <c r="X206" s="349"/>
      <c r="Y206" s="241"/>
      <c r="Z206" s="240"/>
      <c r="AA206" s="350"/>
      <c r="AB206" s="241"/>
      <c r="AC206" s="240"/>
    </row>
    <row r="207" spans="17:29">
      <c r="Q207" s="349"/>
      <c r="R207" s="241">
        <v>45</v>
      </c>
      <c r="S207" s="240">
        <v>5</v>
      </c>
      <c r="T207" s="350"/>
      <c r="U207" s="241">
        <v>45</v>
      </c>
      <c r="V207" s="240">
        <v>30</v>
      </c>
      <c r="X207" s="349"/>
      <c r="Y207" s="241">
        <v>45</v>
      </c>
      <c r="Z207" s="240">
        <v>5</v>
      </c>
      <c r="AA207" s="350"/>
      <c r="AB207" s="241">
        <v>45</v>
      </c>
      <c r="AC207" s="240">
        <v>35</v>
      </c>
    </row>
    <row r="208" spans="17:29">
      <c r="Q208" s="349">
        <v>3600</v>
      </c>
      <c r="R208" s="241">
        <v>28.1</v>
      </c>
      <c r="S208" s="240">
        <v>28.1</v>
      </c>
      <c r="T208" s="350"/>
      <c r="U208" s="241">
        <v>41.1</v>
      </c>
      <c r="V208" s="240">
        <v>26.4</v>
      </c>
      <c r="X208" s="349">
        <v>3600</v>
      </c>
      <c r="Y208" s="241">
        <v>25</v>
      </c>
      <c r="Z208" s="240">
        <f>Y208</f>
        <v>25</v>
      </c>
      <c r="AA208" s="350"/>
      <c r="AB208" s="241">
        <v>38.9</v>
      </c>
      <c r="AC208" s="240">
        <v>23</v>
      </c>
    </row>
    <row r="209" spans="16:29">
      <c r="Q209" s="349">
        <v>6500</v>
      </c>
      <c r="R209" s="241">
        <v>40.700000000000003</v>
      </c>
      <c r="S209" s="240">
        <v>40.700000000000003</v>
      </c>
      <c r="T209" s="350"/>
      <c r="U209" s="241">
        <v>52.6</v>
      </c>
      <c r="V209" s="240">
        <v>38.700000000000003</v>
      </c>
      <c r="X209" s="349">
        <v>6500</v>
      </c>
      <c r="Y209" s="241">
        <v>35</v>
      </c>
      <c r="Z209" s="240">
        <f>Y209</f>
        <v>35</v>
      </c>
      <c r="AA209" s="350"/>
      <c r="AB209" s="241">
        <v>51.5</v>
      </c>
      <c r="AC209" s="240">
        <v>33.5</v>
      </c>
    </row>
    <row r="210" spans="16:29" ht="15" thickBot="1">
      <c r="Q210" s="353"/>
      <c r="R210" s="221"/>
      <c r="S210" s="223"/>
      <c r="T210" s="354"/>
      <c r="U210" s="221"/>
      <c r="V210" s="223"/>
      <c r="X210" s="353"/>
      <c r="Y210" s="221"/>
      <c r="Z210" s="223"/>
      <c r="AA210" s="354"/>
      <c r="AB210" s="221"/>
      <c r="AC210" s="223"/>
    </row>
    <row r="211" spans="16:29">
      <c r="P211" t="s">
        <v>373</v>
      </c>
      <c r="Q211" s="351"/>
      <c r="R211" s="271">
        <v>15</v>
      </c>
      <c r="S211" s="272">
        <v>30</v>
      </c>
      <c r="T211" s="355"/>
      <c r="U211" s="271">
        <v>15</v>
      </c>
      <c r="V211" s="272">
        <v>100</v>
      </c>
      <c r="X211" s="351"/>
      <c r="Y211" s="271">
        <v>15</v>
      </c>
      <c r="Z211" s="272">
        <v>30</v>
      </c>
      <c r="AA211" s="355"/>
      <c r="AB211" s="271">
        <v>15</v>
      </c>
      <c r="AC211" s="272">
        <v>100</v>
      </c>
    </row>
    <row r="212" spans="16:29">
      <c r="Q212" s="349">
        <v>4000</v>
      </c>
      <c r="R212" s="241">
        <v>3.72</v>
      </c>
      <c r="S212" s="240">
        <v>3.72</v>
      </c>
      <c r="T212" s="350"/>
      <c r="U212" s="241">
        <v>3.81</v>
      </c>
      <c r="V212" s="240">
        <v>1.46</v>
      </c>
      <c r="X212" s="349">
        <v>4000</v>
      </c>
      <c r="Y212" s="241">
        <v>4.2699999999999996</v>
      </c>
      <c r="Z212" s="240">
        <f>Y212</f>
        <v>4.2699999999999996</v>
      </c>
      <c r="AA212" s="350"/>
      <c r="AB212" s="241">
        <v>6.12</v>
      </c>
      <c r="AC212" s="240">
        <v>2.4</v>
      </c>
    </row>
    <row r="213" spans="16:29">
      <c r="Q213" s="349">
        <v>7300</v>
      </c>
      <c r="R213" s="241">
        <v>5.23</v>
      </c>
      <c r="S213" s="240">
        <v>5.23</v>
      </c>
      <c r="T213" s="350"/>
      <c r="U213" s="241">
        <v>4.9800000000000004</v>
      </c>
      <c r="V213" s="240">
        <v>1.94</v>
      </c>
      <c r="X213" s="349">
        <v>7300</v>
      </c>
      <c r="Y213" s="241">
        <v>5.53</v>
      </c>
      <c r="Z213" s="240">
        <f>Y213</f>
        <v>5.53</v>
      </c>
      <c r="AA213" s="350"/>
      <c r="AB213" s="241">
        <v>7.27</v>
      </c>
      <c r="AC213" s="240">
        <v>2.92</v>
      </c>
    </row>
    <row r="214" spans="16:29">
      <c r="Q214" s="349"/>
      <c r="R214" s="241"/>
      <c r="S214" s="240"/>
      <c r="T214" s="350"/>
      <c r="U214" s="241"/>
      <c r="V214" s="240"/>
      <c r="X214" s="349"/>
      <c r="Y214" s="241"/>
      <c r="Z214" s="240"/>
      <c r="AA214" s="350"/>
      <c r="AB214" s="241"/>
      <c r="AC214" s="240"/>
    </row>
    <row r="215" spans="16:29">
      <c r="Q215" s="349"/>
      <c r="R215" s="241">
        <v>20</v>
      </c>
      <c r="S215" s="240">
        <v>20</v>
      </c>
      <c r="T215" s="350"/>
      <c r="U215" s="241">
        <v>20</v>
      </c>
      <c r="V215" s="240">
        <v>100</v>
      </c>
      <c r="X215" s="349"/>
      <c r="Y215" s="241">
        <v>20</v>
      </c>
      <c r="Z215" s="240">
        <v>20</v>
      </c>
      <c r="AA215" s="350"/>
      <c r="AB215" s="241">
        <v>20</v>
      </c>
      <c r="AC215" s="240">
        <v>100</v>
      </c>
    </row>
    <row r="216" spans="16:29">
      <c r="Q216" s="349">
        <v>4000</v>
      </c>
      <c r="R216" s="241">
        <v>8.48</v>
      </c>
      <c r="S216" s="240">
        <v>8.48</v>
      </c>
      <c r="T216" s="350"/>
      <c r="U216" s="241">
        <v>18.600000000000001</v>
      </c>
      <c r="V216" s="240">
        <v>6.02</v>
      </c>
      <c r="X216" s="349">
        <v>4000</v>
      </c>
      <c r="Y216" s="241">
        <v>8.32</v>
      </c>
      <c r="Z216" s="240">
        <f>Y216</f>
        <v>8.32</v>
      </c>
      <c r="AA216" s="350"/>
      <c r="AB216" s="241">
        <v>16.8</v>
      </c>
      <c r="AC216" s="240">
        <v>5.62</v>
      </c>
    </row>
    <row r="217" spans="16:29">
      <c r="Q217" s="349">
        <v>7300</v>
      </c>
      <c r="R217" s="241">
        <v>12.3</v>
      </c>
      <c r="S217" s="240">
        <v>12.3</v>
      </c>
      <c r="T217" s="350"/>
      <c r="U217" s="241">
        <v>26.6</v>
      </c>
      <c r="V217" s="240">
        <v>8.5299999999999994</v>
      </c>
      <c r="X217" s="349">
        <v>7300</v>
      </c>
      <c r="Y217" s="241">
        <v>11.3</v>
      </c>
      <c r="Z217" s="240">
        <f>Y217</f>
        <v>11.3</v>
      </c>
      <c r="AA217" s="350"/>
      <c r="AB217" s="241">
        <v>21.9</v>
      </c>
      <c r="AC217" s="240">
        <v>6.82</v>
      </c>
    </row>
    <row r="218" spans="16:29">
      <c r="Q218" s="349"/>
      <c r="R218" s="241"/>
      <c r="S218" s="240"/>
      <c r="T218" s="350"/>
      <c r="U218" s="241"/>
      <c r="V218" s="240"/>
      <c r="X218" s="349"/>
      <c r="Y218" s="241"/>
      <c r="Z218" s="240"/>
      <c r="AA218" s="350"/>
      <c r="AB218" s="241"/>
      <c r="AC218" s="240"/>
    </row>
    <row r="219" spans="16:29">
      <c r="Q219" s="349"/>
      <c r="R219" s="241">
        <v>25</v>
      </c>
      <c r="S219" s="240">
        <v>15</v>
      </c>
      <c r="T219" s="350"/>
      <c r="U219" s="241">
        <v>25</v>
      </c>
      <c r="V219" s="240">
        <v>73</v>
      </c>
      <c r="X219" s="349"/>
      <c r="Y219" s="241">
        <v>25</v>
      </c>
      <c r="Z219" s="240">
        <v>15</v>
      </c>
      <c r="AA219" s="350"/>
      <c r="AB219" s="241">
        <v>25</v>
      </c>
      <c r="AC219" s="240">
        <v>73</v>
      </c>
    </row>
    <row r="220" spans="16:29">
      <c r="Q220" s="349">
        <v>4000</v>
      </c>
      <c r="R220" s="241">
        <v>13.1</v>
      </c>
      <c r="S220" s="240">
        <v>13.1</v>
      </c>
      <c r="T220" s="350"/>
      <c r="U220" s="241">
        <v>22.9</v>
      </c>
      <c r="V220" s="240">
        <v>11.3</v>
      </c>
      <c r="X220" s="349">
        <v>4000</v>
      </c>
      <c r="Y220" s="241">
        <v>12.4</v>
      </c>
      <c r="Z220" s="240">
        <f>Y220</f>
        <v>12.4</v>
      </c>
      <c r="AA220" s="350"/>
      <c r="AB220" s="241">
        <v>20.100000000000001</v>
      </c>
      <c r="AC220" s="240">
        <v>9.9499999999999993</v>
      </c>
    </row>
    <row r="221" spans="16:29">
      <c r="Q221" s="349">
        <v>7300</v>
      </c>
      <c r="R221" s="241">
        <v>19.3</v>
      </c>
      <c r="S221" s="240">
        <v>19.3</v>
      </c>
      <c r="T221" s="350"/>
      <c r="U221" s="241">
        <v>32</v>
      </c>
      <c r="V221" s="240">
        <v>16.7</v>
      </c>
      <c r="X221" s="349">
        <v>7300</v>
      </c>
      <c r="Y221" s="241">
        <v>17.5</v>
      </c>
      <c r="Z221" s="240">
        <f>Y221</f>
        <v>17.5</v>
      </c>
      <c r="AA221" s="350"/>
      <c r="AB221" s="241">
        <v>27.1</v>
      </c>
      <c r="AC221" s="240">
        <v>13.9</v>
      </c>
    </row>
    <row r="222" spans="16:29">
      <c r="Q222" s="349"/>
      <c r="R222" s="241"/>
      <c r="S222" s="240"/>
      <c r="T222" s="350"/>
      <c r="U222" s="241"/>
      <c r="V222" s="240"/>
      <c r="X222" s="349"/>
      <c r="Y222" s="241"/>
      <c r="Z222" s="240"/>
      <c r="AA222" s="350"/>
      <c r="AB222" s="241"/>
      <c r="AC222" s="240"/>
    </row>
    <row r="223" spans="16:29">
      <c r="Q223" s="349"/>
      <c r="R223" s="241">
        <v>30</v>
      </c>
      <c r="S223" s="240">
        <v>12</v>
      </c>
      <c r="T223" s="350"/>
      <c r="U223" s="241">
        <v>30</v>
      </c>
      <c r="V223" s="240">
        <v>56</v>
      </c>
      <c r="X223" s="349"/>
      <c r="Y223" s="241">
        <v>30</v>
      </c>
      <c r="Z223" s="240">
        <v>12</v>
      </c>
      <c r="AA223" s="350"/>
      <c r="AB223" s="241">
        <v>30</v>
      </c>
      <c r="AC223" s="240">
        <v>56</v>
      </c>
    </row>
    <row r="224" spans="16:29">
      <c r="Q224" s="349">
        <v>4000</v>
      </c>
      <c r="R224" s="241">
        <v>17.7</v>
      </c>
      <c r="S224" s="240">
        <v>17.7</v>
      </c>
      <c r="T224" s="350"/>
      <c r="U224" s="241">
        <v>28.6</v>
      </c>
      <c r="V224" s="240">
        <v>16.100000000000001</v>
      </c>
      <c r="X224" s="349">
        <v>4000</v>
      </c>
      <c r="Y224" s="241">
        <v>16.5</v>
      </c>
      <c r="Z224" s="240">
        <f>Y224</f>
        <v>16.5</v>
      </c>
      <c r="AA224" s="350"/>
      <c r="AB224" s="241">
        <v>24.6</v>
      </c>
      <c r="AC224" s="240">
        <v>14.6</v>
      </c>
    </row>
    <row r="225" spans="16:29">
      <c r="Q225" s="349">
        <v>7300</v>
      </c>
      <c r="R225" s="241">
        <v>26.3</v>
      </c>
      <c r="S225" s="240">
        <v>26.3</v>
      </c>
      <c r="T225" s="350"/>
      <c r="U225" s="241">
        <v>36</v>
      </c>
      <c r="V225" s="240">
        <v>22.6</v>
      </c>
      <c r="X225" s="349">
        <v>7300</v>
      </c>
      <c r="Y225" s="241">
        <v>23.4</v>
      </c>
      <c r="Z225" s="240">
        <f>Y225</f>
        <v>23.4</v>
      </c>
      <c r="AA225" s="350"/>
      <c r="AB225" s="241">
        <v>33.299999999999997</v>
      </c>
      <c r="AC225" s="240">
        <v>20.9</v>
      </c>
    </row>
    <row r="226" spans="16:29">
      <c r="Q226" s="349"/>
      <c r="R226" s="241"/>
      <c r="S226" s="240"/>
      <c r="T226" s="350"/>
      <c r="U226" s="241"/>
      <c r="V226" s="240"/>
      <c r="X226" s="349"/>
      <c r="Y226" s="241"/>
      <c r="Z226" s="240"/>
      <c r="AA226" s="350"/>
      <c r="AB226" s="241"/>
      <c r="AC226" s="240"/>
    </row>
    <row r="227" spans="16:29">
      <c r="Q227" s="349"/>
      <c r="R227" s="241">
        <v>35</v>
      </c>
      <c r="S227" s="240">
        <v>9</v>
      </c>
      <c r="T227" s="350"/>
      <c r="U227" s="241">
        <v>35</v>
      </c>
      <c r="V227" s="240">
        <v>43</v>
      </c>
      <c r="X227" s="349"/>
      <c r="Y227" s="241">
        <v>35</v>
      </c>
      <c r="Z227" s="240">
        <v>9</v>
      </c>
      <c r="AA227" s="350"/>
      <c r="AB227" s="241">
        <v>35</v>
      </c>
      <c r="AC227" s="240">
        <v>45</v>
      </c>
    </row>
    <row r="228" spans="16:29">
      <c r="Q228" s="349">
        <v>4000</v>
      </c>
      <c r="R228" s="241">
        <v>22.3</v>
      </c>
      <c r="S228" s="240">
        <v>22.3</v>
      </c>
      <c r="T228" s="350"/>
      <c r="U228" s="241">
        <v>33.4</v>
      </c>
      <c r="V228" s="240">
        <v>21</v>
      </c>
      <c r="X228" s="349">
        <v>4000</v>
      </c>
      <c r="Y228" s="241">
        <v>20.6</v>
      </c>
      <c r="Z228" s="240">
        <f>Y228</f>
        <v>20.6</v>
      </c>
      <c r="AA228" s="350"/>
      <c r="AB228" s="241">
        <v>30.2</v>
      </c>
      <c r="AC228" s="240">
        <v>19</v>
      </c>
    </row>
    <row r="229" spans="16:29">
      <c r="Q229" s="349">
        <v>7300</v>
      </c>
      <c r="R229" s="241">
        <v>33.5</v>
      </c>
      <c r="S229" s="240">
        <v>33.4</v>
      </c>
      <c r="T229" s="350"/>
      <c r="U229" s="241">
        <v>39.4</v>
      </c>
      <c r="V229" s="240">
        <v>29.1</v>
      </c>
      <c r="X229" s="349">
        <v>7300</v>
      </c>
      <c r="Y229" s="241">
        <v>29.3</v>
      </c>
      <c r="Z229" s="240">
        <f>Y229</f>
        <v>29.3</v>
      </c>
      <c r="AA229" s="350"/>
      <c r="AB229" s="241">
        <v>41</v>
      </c>
      <c r="AC229" s="240">
        <v>27.9</v>
      </c>
    </row>
    <row r="230" spans="16:29">
      <c r="Q230" s="349"/>
      <c r="R230" s="241"/>
      <c r="S230" s="240"/>
      <c r="T230" s="350"/>
      <c r="U230" s="241"/>
      <c r="V230" s="240"/>
      <c r="X230" s="349"/>
      <c r="Y230" s="241"/>
      <c r="Z230" s="240"/>
      <c r="AA230" s="350"/>
      <c r="AB230" s="241"/>
      <c r="AC230" s="240"/>
    </row>
    <row r="231" spans="16:29">
      <c r="Q231" s="349"/>
      <c r="R231" s="241">
        <v>40</v>
      </c>
      <c r="S231" s="240">
        <v>7</v>
      </c>
      <c r="T231" s="350"/>
      <c r="U231" s="241">
        <v>40</v>
      </c>
      <c r="V231" s="240">
        <v>35</v>
      </c>
      <c r="X231" s="349"/>
      <c r="Y231" s="241">
        <v>40</v>
      </c>
      <c r="Z231" s="240">
        <v>7</v>
      </c>
      <c r="AA231" s="350"/>
      <c r="AB231" s="241">
        <v>40</v>
      </c>
      <c r="AC231" s="240">
        <v>40</v>
      </c>
    </row>
    <row r="232" spans="16:29">
      <c r="Q232" s="349">
        <v>4000</v>
      </c>
      <c r="R232" s="241">
        <v>26.9</v>
      </c>
      <c r="S232" s="240">
        <v>26.9</v>
      </c>
      <c r="T232" s="350"/>
      <c r="U232" s="241">
        <v>39.200000000000003</v>
      </c>
      <c r="V232" s="240">
        <v>25.4</v>
      </c>
      <c r="X232" s="349">
        <v>4000</v>
      </c>
      <c r="Y232" s="241">
        <v>24.7</v>
      </c>
      <c r="Z232" s="240">
        <f>Y232</f>
        <v>24.7</v>
      </c>
      <c r="AA232" s="350"/>
      <c r="AB232" s="241">
        <v>38.9</v>
      </c>
      <c r="AC232" s="240">
        <v>22.9</v>
      </c>
    </row>
    <row r="233" spans="16:29">
      <c r="Q233" s="349">
        <v>7300</v>
      </c>
      <c r="R233" s="241">
        <v>39.299999999999997</v>
      </c>
      <c r="S233" s="240">
        <v>39.299999999999997</v>
      </c>
      <c r="T233" s="350"/>
      <c r="U233" s="241">
        <v>47.8</v>
      </c>
      <c r="V233" s="240">
        <v>36.200000000000003</v>
      </c>
      <c r="X233" s="349">
        <v>7300</v>
      </c>
      <c r="Y233" s="241">
        <v>35.1</v>
      </c>
      <c r="Z233" s="240">
        <f>Y233</f>
        <v>35.1</v>
      </c>
      <c r="AA233" s="350"/>
      <c r="AB233" s="241">
        <v>52.9</v>
      </c>
      <c r="AC233" s="240">
        <v>33.4</v>
      </c>
    </row>
    <row r="234" spans="16:29">
      <c r="Q234" s="349"/>
      <c r="R234" s="241"/>
      <c r="S234" s="240"/>
      <c r="T234" s="350"/>
      <c r="U234" s="241"/>
      <c r="V234" s="240"/>
      <c r="X234" s="349"/>
      <c r="Y234" s="241"/>
      <c r="Z234" s="240"/>
      <c r="AA234" s="350"/>
      <c r="AB234" s="241"/>
      <c r="AC234" s="240"/>
    </row>
    <row r="235" spans="16:29">
      <c r="Q235" s="349"/>
      <c r="R235" s="241">
        <v>45</v>
      </c>
      <c r="S235" s="240">
        <v>5</v>
      </c>
      <c r="T235" s="350"/>
      <c r="U235" s="241">
        <v>45</v>
      </c>
      <c r="V235" s="240">
        <v>30</v>
      </c>
      <c r="X235" s="349"/>
      <c r="Y235" s="241">
        <v>45</v>
      </c>
      <c r="Z235" s="240">
        <v>5</v>
      </c>
      <c r="AA235" s="350"/>
      <c r="AB235" s="241">
        <v>45</v>
      </c>
      <c r="AC235" s="240">
        <v>35</v>
      </c>
    </row>
    <row r="236" spans="16:29">
      <c r="Q236" s="349">
        <v>4000</v>
      </c>
      <c r="R236" s="241">
        <v>31.8</v>
      </c>
      <c r="S236" s="240">
        <v>31.8</v>
      </c>
      <c r="T236" s="350"/>
      <c r="U236" s="241">
        <v>45.5</v>
      </c>
      <c r="V236" s="240">
        <v>29.5</v>
      </c>
      <c r="X236" s="349">
        <v>4000</v>
      </c>
      <c r="Y236" s="241">
        <v>28.7</v>
      </c>
      <c r="Z236" s="240">
        <f>Y236</f>
        <v>28.7</v>
      </c>
      <c r="AA236" s="350"/>
      <c r="AB236" s="241">
        <v>47.5</v>
      </c>
      <c r="AC236" s="240">
        <v>26.7</v>
      </c>
    </row>
    <row r="237" spans="16:29">
      <c r="Q237" s="349">
        <v>7300</v>
      </c>
      <c r="R237" s="241">
        <v>45.6</v>
      </c>
      <c r="S237" s="240">
        <v>45.6</v>
      </c>
      <c r="T237" s="350"/>
      <c r="U237" s="241">
        <v>56.7</v>
      </c>
      <c r="V237" s="240">
        <v>42.7</v>
      </c>
      <c r="X237" s="349">
        <v>7300</v>
      </c>
      <c r="Y237" s="241">
        <v>41</v>
      </c>
      <c r="Z237" s="240">
        <f>Y237</f>
        <v>41</v>
      </c>
      <c r="AA237" s="350"/>
      <c r="AB237" s="241">
        <v>64.3</v>
      </c>
      <c r="AC237" s="240">
        <v>39.700000000000003</v>
      </c>
    </row>
    <row r="238" spans="16:29" ht="15" thickBot="1">
      <c r="Q238" s="353"/>
      <c r="R238" s="221"/>
      <c r="S238" s="223"/>
      <c r="T238" s="354"/>
      <c r="U238" s="221"/>
      <c r="V238" s="223"/>
      <c r="X238" s="353"/>
      <c r="Y238" s="221"/>
      <c r="Z238" s="223"/>
      <c r="AA238" s="354"/>
      <c r="AB238" s="221"/>
      <c r="AC238" s="223"/>
    </row>
    <row r="239" spans="16:29">
      <c r="P239" t="s">
        <v>374</v>
      </c>
      <c r="Q239" s="351"/>
      <c r="R239" s="271">
        <v>15</v>
      </c>
      <c r="S239" s="272">
        <v>30</v>
      </c>
      <c r="T239" s="355"/>
      <c r="U239" s="271">
        <v>15</v>
      </c>
      <c r="V239" s="272">
        <v>100</v>
      </c>
      <c r="X239" s="351"/>
      <c r="Y239" s="271">
        <v>15</v>
      </c>
      <c r="Z239" s="272">
        <v>30</v>
      </c>
      <c r="AA239" s="355"/>
      <c r="AB239" s="271">
        <v>15</v>
      </c>
      <c r="AC239" s="272">
        <v>100</v>
      </c>
    </row>
    <row r="240" spans="16:29">
      <c r="Q240" s="349">
        <v>4500</v>
      </c>
      <c r="R240" s="241">
        <v>4.3099999999999996</v>
      </c>
      <c r="S240" s="240">
        <v>4.3099999999999996</v>
      </c>
      <c r="T240" s="350"/>
      <c r="U240" s="241">
        <v>4.7</v>
      </c>
      <c r="V240" s="240">
        <v>1.65</v>
      </c>
      <c r="X240" s="349">
        <v>4500</v>
      </c>
      <c r="Y240" s="241">
        <v>4.97</v>
      </c>
      <c r="Z240" s="240">
        <f>Y240</f>
        <v>4.97</v>
      </c>
      <c r="AA240" s="350"/>
      <c r="AB240" s="241">
        <v>7.35</v>
      </c>
      <c r="AC240" s="240">
        <v>2.85</v>
      </c>
    </row>
    <row r="241" spans="17:29">
      <c r="Q241" s="349">
        <v>8100</v>
      </c>
      <c r="R241" s="241">
        <v>6.05</v>
      </c>
      <c r="S241" s="240">
        <v>6.05</v>
      </c>
      <c r="T241" s="350"/>
      <c r="U241" s="241">
        <v>6.17</v>
      </c>
      <c r="V241" s="240">
        <v>2.15</v>
      </c>
      <c r="X241" s="349">
        <v>8100</v>
      </c>
      <c r="Y241" s="241">
        <v>6.68</v>
      </c>
      <c r="Z241" s="240">
        <f>Y241</f>
        <v>6.68</v>
      </c>
      <c r="AA241" s="350"/>
      <c r="AB241" s="241">
        <v>9.31</v>
      </c>
      <c r="AC241" s="240">
        <v>3.23</v>
      </c>
    </row>
    <row r="242" spans="17:29">
      <c r="Q242" s="349"/>
      <c r="R242" s="241"/>
      <c r="S242" s="240"/>
      <c r="T242" s="350"/>
      <c r="U242" s="241"/>
      <c r="V242" s="240"/>
      <c r="X242" s="349"/>
      <c r="Y242" s="241"/>
      <c r="Z242" s="240"/>
      <c r="AA242" s="350"/>
      <c r="AB242" s="241"/>
      <c r="AC242" s="240"/>
    </row>
    <row r="243" spans="17:29">
      <c r="Q243" s="349"/>
      <c r="R243" s="241">
        <v>20</v>
      </c>
      <c r="S243" s="240">
        <v>20</v>
      </c>
      <c r="T243" s="350"/>
      <c r="U243" s="241">
        <v>20</v>
      </c>
      <c r="V243" s="240">
        <v>100</v>
      </c>
      <c r="X243" s="349"/>
      <c r="Y243" s="241">
        <v>20</v>
      </c>
      <c r="Z243" s="240">
        <v>20</v>
      </c>
      <c r="AA243" s="350"/>
      <c r="AB243" s="241">
        <v>20</v>
      </c>
      <c r="AC243" s="240">
        <v>100</v>
      </c>
    </row>
    <row r="244" spans="17:29">
      <c r="Q244" s="349">
        <v>4500</v>
      </c>
      <c r="R244" s="241">
        <v>9.66</v>
      </c>
      <c r="S244" s="240">
        <v>9.66</v>
      </c>
      <c r="T244" s="350"/>
      <c r="U244" s="241">
        <v>21.5</v>
      </c>
      <c r="V244" s="240">
        <v>7.08</v>
      </c>
      <c r="X244" s="349">
        <v>4500</v>
      </c>
      <c r="Y244" s="241">
        <v>9.5299999999999994</v>
      </c>
      <c r="Z244" s="240">
        <f>Y244</f>
        <v>9.5299999999999994</v>
      </c>
      <c r="AA244" s="350"/>
      <c r="AB244" s="241">
        <v>19.3</v>
      </c>
      <c r="AC244" s="240">
        <v>6.32</v>
      </c>
    </row>
    <row r="245" spans="17:29">
      <c r="Q245" s="349">
        <v>8100</v>
      </c>
      <c r="R245" s="241">
        <v>14</v>
      </c>
      <c r="S245" s="240">
        <v>14</v>
      </c>
      <c r="T245" s="350"/>
      <c r="U245" s="241">
        <v>30.5</v>
      </c>
      <c r="V245" s="240">
        <v>10</v>
      </c>
      <c r="X245" s="349">
        <v>8100</v>
      </c>
      <c r="Y245" s="241">
        <v>13.2</v>
      </c>
      <c r="Z245" s="240">
        <f>Y245</f>
        <v>13.2</v>
      </c>
      <c r="AA245" s="350"/>
      <c r="AB245" s="241">
        <v>25.7</v>
      </c>
      <c r="AC245" s="240">
        <v>8.65</v>
      </c>
    </row>
    <row r="246" spans="17:29">
      <c r="Q246" s="349"/>
      <c r="R246" s="241"/>
      <c r="S246" s="240"/>
      <c r="T246" s="350"/>
      <c r="U246" s="241"/>
      <c r="V246" s="240"/>
      <c r="X246" s="349"/>
      <c r="Y246" s="241"/>
      <c r="Z246" s="240"/>
      <c r="AA246" s="350"/>
      <c r="AB246" s="241"/>
      <c r="AC246" s="240"/>
    </row>
    <row r="247" spans="17:29">
      <c r="Q247" s="349"/>
      <c r="R247" s="241">
        <v>25</v>
      </c>
      <c r="S247" s="240">
        <v>15</v>
      </c>
      <c r="T247" s="350"/>
      <c r="U247" s="241">
        <v>25</v>
      </c>
      <c r="V247" s="240">
        <v>73</v>
      </c>
      <c r="X247" s="349"/>
      <c r="Y247" s="241">
        <v>25</v>
      </c>
      <c r="Z247" s="240">
        <v>15</v>
      </c>
      <c r="AA247" s="350"/>
      <c r="AB247" s="241">
        <v>25</v>
      </c>
      <c r="AC247" s="240">
        <v>73</v>
      </c>
    </row>
    <row r="248" spans="17:29">
      <c r="Q248" s="349">
        <v>4500</v>
      </c>
      <c r="R248" s="241">
        <v>14.9</v>
      </c>
      <c r="S248" s="240">
        <v>14.9</v>
      </c>
      <c r="T248" s="350"/>
      <c r="U248" s="241">
        <v>26.3</v>
      </c>
      <c r="V248" s="240">
        <v>12.7</v>
      </c>
      <c r="X248" s="349">
        <v>4500</v>
      </c>
      <c r="Y248" s="241">
        <v>14.1</v>
      </c>
      <c r="Z248" s="240">
        <f>Y248</f>
        <v>14.1</v>
      </c>
      <c r="AA248" s="350"/>
      <c r="AB248" s="241">
        <v>23.1</v>
      </c>
      <c r="AC248" s="240">
        <v>11.7</v>
      </c>
    </row>
    <row r="249" spans="17:29">
      <c r="Q249" s="349">
        <v>8100</v>
      </c>
      <c r="R249" s="241">
        <v>21.7</v>
      </c>
      <c r="S249" s="240">
        <v>21.7</v>
      </c>
      <c r="T249" s="350"/>
      <c r="U249" s="241">
        <v>36.700000000000003</v>
      </c>
      <c r="V249" s="240">
        <v>18.5</v>
      </c>
      <c r="X249" s="349">
        <v>8100</v>
      </c>
      <c r="Y249" s="241">
        <v>19.7</v>
      </c>
      <c r="Z249" s="240">
        <f>Y249</f>
        <v>19.7</v>
      </c>
      <c r="AA249" s="350"/>
      <c r="AB249" s="241">
        <v>30.8</v>
      </c>
      <c r="AC249" s="240">
        <v>16.600000000000001</v>
      </c>
    </row>
    <row r="250" spans="17:29">
      <c r="Q250" s="349"/>
      <c r="R250" s="241"/>
      <c r="S250" s="240"/>
      <c r="T250" s="350"/>
      <c r="U250" s="241"/>
      <c r="V250" s="240"/>
      <c r="X250" s="349"/>
      <c r="Y250" s="241"/>
      <c r="Z250" s="240"/>
      <c r="AA250" s="350"/>
      <c r="AB250" s="241"/>
      <c r="AC250" s="240"/>
    </row>
    <row r="251" spans="17:29">
      <c r="Q251" s="349"/>
      <c r="R251" s="241">
        <v>30</v>
      </c>
      <c r="S251" s="240">
        <v>12</v>
      </c>
      <c r="T251" s="350"/>
      <c r="U251" s="241">
        <v>30</v>
      </c>
      <c r="V251" s="240">
        <v>56</v>
      </c>
      <c r="X251" s="349"/>
      <c r="Y251" s="241">
        <v>30</v>
      </c>
      <c r="Z251" s="240">
        <v>12</v>
      </c>
      <c r="AA251" s="350"/>
      <c r="AB251" s="241">
        <v>30</v>
      </c>
      <c r="AC251" s="240">
        <v>56</v>
      </c>
    </row>
    <row r="252" spans="17:29">
      <c r="Q252" s="349">
        <v>4500</v>
      </c>
      <c r="R252" s="241">
        <v>20.100000000000001</v>
      </c>
      <c r="S252" s="240">
        <v>20.100000000000001</v>
      </c>
      <c r="T252" s="350"/>
      <c r="U252" s="241">
        <v>32.200000000000003</v>
      </c>
      <c r="V252" s="240">
        <v>18.3</v>
      </c>
      <c r="X252" s="349">
        <v>4500</v>
      </c>
      <c r="Y252" s="241">
        <v>18.7</v>
      </c>
      <c r="Z252" s="240">
        <f>Y252</f>
        <v>18.7</v>
      </c>
      <c r="AA252" s="350"/>
      <c r="AB252" s="241">
        <v>28.1</v>
      </c>
      <c r="AC252" s="240">
        <v>16.399999999999999</v>
      </c>
    </row>
    <row r="253" spans="17:29">
      <c r="Q253" s="349">
        <v>8100</v>
      </c>
      <c r="R253" s="241">
        <v>29.5</v>
      </c>
      <c r="S253" s="240">
        <v>29.5</v>
      </c>
      <c r="T253" s="350"/>
      <c r="U253" s="241">
        <v>41.3</v>
      </c>
      <c r="V253" s="240">
        <v>25.7</v>
      </c>
      <c r="X253" s="349">
        <v>8100</v>
      </c>
      <c r="Y253" s="241">
        <v>26.1</v>
      </c>
      <c r="Z253" s="240">
        <f>Y253</f>
        <v>26.1</v>
      </c>
      <c r="AA253" s="350"/>
      <c r="AB253" s="241">
        <v>37.4</v>
      </c>
      <c r="AC253" s="240">
        <v>24</v>
      </c>
    </row>
    <row r="254" spans="17:29">
      <c r="Q254" s="349"/>
      <c r="R254" s="241"/>
      <c r="S254" s="240"/>
      <c r="T254" s="350"/>
      <c r="U254" s="241"/>
      <c r="V254" s="240"/>
      <c r="X254" s="349"/>
      <c r="Y254" s="241"/>
      <c r="Z254" s="240"/>
      <c r="AA254" s="350"/>
      <c r="AB254" s="241"/>
      <c r="AC254" s="240"/>
    </row>
    <row r="255" spans="17:29">
      <c r="Q255" s="349"/>
      <c r="R255" s="241">
        <v>35</v>
      </c>
      <c r="S255" s="240">
        <v>9</v>
      </c>
      <c r="T255" s="350"/>
      <c r="U255" s="241">
        <v>35</v>
      </c>
      <c r="V255" s="240">
        <v>43</v>
      </c>
      <c r="X255" s="349"/>
      <c r="Y255" s="241">
        <v>35</v>
      </c>
      <c r="Z255" s="240">
        <v>9</v>
      </c>
      <c r="AA255" s="350"/>
      <c r="AB255" s="241">
        <v>35</v>
      </c>
      <c r="AC255" s="240">
        <v>45</v>
      </c>
    </row>
    <row r="256" spans="17:29">
      <c r="Q256" s="349">
        <v>4500</v>
      </c>
      <c r="R256" s="241">
        <v>25.2</v>
      </c>
      <c r="S256" s="240">
        <v>25.2</v>
      </c>
      <c r="T256" s="350"/>
      <c r="U256" s="241">
        <v>35.200000000000003</v>
      </c>
      <c r="V256" s="240">
        <v>22.8</v>
      </c>
      <c r="X256" s="349">
        <v>4500</v>
      </c>
      <c r="Y256" s="241">
        <v>23.2</v>
      </c>
      <c r="Z256" s="240">
        <f>Y256</f>
        <v>23.2</v>
      </c>
      <c r="AA256" s="350"/>
      <c r="AB256" s="241">
        <v>34.1</v>
      </c>
      <c r="AC256" s="240">
        <v>21.4</v>
      </c>
    </row>
    <row r="257" spans="17:29">
      <c r="Q257" s="349">
        <v>8100</v>
      </c>
      <c r="R257" s="241">
        <v>36.9</v>
      </c>
      <c r="S257" s="240">
        <v>36.9</v>
      </c>
      <c r="T257" s="350"/>
      <c r="U257" s="241">
        <v>45.3</v>
      </c>
      <c r="V257" s="240">
        <v>33.1</v>
      </c>
      <c r="X257" s="349">
        <v>8100</v>
      </c>
      <c r="Y257" s="241">
        <v>32.6</v>
      </c>
      <c r="Z257" s="240">
        <f>Y257</f>
        <v>32.6</v>
      </c>
      <c r="AA257" s="350"/>
      <c r="AB257" s="241">
        <v>45.7</v>
      </c>
      <c r="AC257" s="240">
        <v>30.9</v>
      </c>
    </row>
    <row r="258" spans="17:29">
      <c r="Q258" s="349"/>
      <c r="R258" s="241"/>
      <c r="S258" s="240"/>
      <c r="T258" s="350"/>
      <c r="U258" s="241"/>
      <c r="V258" s="240"/>
      <c r="X258" s="349"/>
      <c r="Y258" s="241"/>
      <c r="Z258" s="240"/>
      <c r="AA258" s="350"/>
      <c r="AB258" s="241"/>
      <c r="AC258" s="240"/>
    </row>
    <row r="259" spans="17:29">
      <c r="Q259" s="349"/>
      <c r="R259" s="241">
        <v>40</v>
      </c>
      <c r="S259" s="240">
        <v>7</v>
      </c>
      <c r="T259" s="350"/>
      <c r="U259" s="241">
        <v>40</v>
      </c>
      <c r="V259" s="240">
        <v>35</v>
      </c>
      <c r="X259" s="349"/>
      <c r="Y259" s="241">
        <v>40</v>
      </c>
      <c r="Z259" s="240">
        <v>7</v>
      </c>
      <c r="AA259" s="350"/>
      <c r="AB259" s="241">
        <v>40</v>
      </c>
      <c r="AC259" s="240">
        <v>40</v>
      </c>
    </row>
    <row r="260" spans="17:29">
      <c r="Q260" s="349">
        <v>4500</v>
      </c>
      <c r="R260" s="241">
        <v>30.4</v>
      </c>
      <c r="S260" s="240">
        <v>30.4</v>
      </c>
      <c r="T260" s="350"/>
      <c r="U260" s="241">
        <v>43.3</v>
      </c>
      <c r="V260" s="240">
        <v>28.1</v>
      </c>
      <c r="X260" s="349">
        <v>4500</v>
      </c>
      <c r="Y260" s="241">
        <v>27.7</v>
      </c>
      <c r="Z260" s="240">
        <f>Y260</f>
        <v>27.7</v>
      </c>
      <c r="AA260" s="350"/>
      <c r="AB260" s="241">
        <v>43.7</v>
      </c>
      <c r="AC260" s="240">
        <v>25.6</v>
      </c>
    </row>
    <row r="261" spans="17:29">
      <c r="Q261" s="349">
        <v>8100</v>
      </c>
      <c r="R261" s="241">
        <v>43.5</v>
      </c>
      <c r="S261" s="240">
        <v>43.5</v>
      </c>
      <c r="T261" s="350"/>
      <c r="U261" s="241">
        <v>52.2</v>
      </c>
      <c r="V261" s="240">
        <v>40.1</v>
      </c>
      <c r="X261" s="349">
        <v>8100</v>
      </c>
      <c r="Y261" s="241">
        <v>39</v>
      </c>
      <c r="Z261" s="240">
        <f>Y261</f>
        <v>39</v>
      </c>
      <c r="AA261" s="350"/>
      <c r="AB261" s="241">
        <v>58.1</v>
      </c>
      <c r="AC261" s="240">
        <v>37</v>
      </c>
    </row>
    <row r="262" spans="17:29">
      <c r="Q262" s="349"/>
      <c r="R262" s="241"/>
      <c r="S262" s="240"/>
      <c r="T262" s="350"/>
      <c r="U262" s="241"/>
      <c r="V262" s="240"/>
      <c r="X262" s="349"/>
      <c r="Y262" s="241"/>
      <c r="Z262" s="240"/>
      <c r="AA262" s="350"/>
      <c r="AB262" s="241"/>
      <c r="AC262" s="240"/>
    </row>
    <row r="263" spans="17:29">
      <c r="Q263" s="349"/>
      <c r="R263" s="241">
        <v>45</v>
      </c>
      <c r="S263" s="240">
        <v>5</v>
      </c>
      <c r="T263" s="350"/>
      <c r="U263" s="241">
        <v>45</v>
      </c>
      <c r="V263" s="240">
        <v>30</v>
      </c>
      <c r="X263" s="349"/>
      <c r="Y263" s="241">
        <v>45</v>
      </c>
      <c r="Z263" s="240">
        <v>5</v>
      </c>
      <c r="AA263" s="350"/>
      <c r="AB263" s="241">
        <v>45</v>
      </c>
      <c r="AC263" s="240">
        <v>35</v>
      </c>
    </row>
    <row r="264" spans="17:29">
      <c r="Q264" s="349">
        <v>4500</v>
      </c>
      <c r="R264" s="241">
        <v>35.799999999999997</v>
      </c>
      <c r="S264" s="240">
        <v>35.799999999999997</v>
      </c>
      <c r="T264" s="350"/>
      <c r="U264" s="241">
        <v>50.1</v>
      </c>
      <c r="V264" s="240">
        <v>33</v>
      </c>
      <c r="X264" s="349">
        <v>4500</v>
      </c>
      <c r="Y264" s="241">
        <v>32.200000000000003</v>
      </c>
      <c r="Z264" s="240">
        <f>Y264</f>
        <v>32.200000000000003</v>
      </c>
      <c r="AA264" s="350"/>
      <c r="AB264" s="241">
        <v>52.8</v>
      </c>
      <c r="AC264" s="240">
        <v>30</v>
      </c>
    </row>
    <row r="265" spans="17:29">
      <c r="Q265" s="349">
        <v>8100</v>
      </c>
      <c r="R265" s="241">
        <v>49.4</v>
      </c>
      <c r="S265" s="240">
        <v>49.4</v>
      </c>
      <c r="T265" s="350"/>
      <c r="U265" s="241">
        <v>61.4</v>
      </c>
      <c r="V265" s="240">
        <v>46.9</v>
      </c>
      <c r="X265" s="349">
        <v>8100</v>
      </c>
      <c r="Y265" s="241">
        <v>45.3</v>
      </c>
      <c r="Z265" s="240">
        <f>Y265</f>
        <v>45.3</v>
      </c>
      <c r="AA265" s="350"/>
      <c r="AB265" s="241">
        <v>70</v>
      </c>
      <c r="AC265" s="240">
        <v>43.2</v>
      </c>
    </row>
    <row r="266" spans="17:29" ht="15" thickBot="1">
      <c r="Q266" s="353"/>
      <c r="R266" s="221"/>
      <c r="S266" s="223"/>
      <c r="T266" s="354"/>
      <c r="U266" s="221"/>
      <c r="V266" s="223"/>
      <c r="X266" s="353"/>
      <c r="Y266" s="221"/>
      <c r="Z266" s="223"/>
      <c r="AA266" s="354"/>
      <c r="AB266" s="221"/>
      <c r="AC266" s="223"/>
    </row>
  </sheetData>
  <customSheetViews>
    <customSheetView guid="{0C99ABE2-728B-4C30-A993-CD651C64FAAE}" state="hidden">
      <selection activeCell="B15" sqref="B15"/>
      <pageMargins left="0.7" right="0.7" top="0.75" bottom="0.75" header="0.3" footer="0.3"/>
      <pageSetup paperSize="9" orientation="portrait" r:id="rId1"/>
    </customSheetView>
    <customSheetView guid="{2BA56ECA-30F6-456D-AB26-04DD1698A098}" state="hidden">
      <selection activeCell="B15" sqref="B15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0" tint="-0.499984740745262"/>
  </sheetPr>
  <dimension ref="A1:C7"/>
  <sheetViews>
    <sheetView workbookViewId="0">
      <selection activeCell="E14" sqref="E14"/>
    </sheetView>
  </sheetViews>
  <sheetFormatPr defaultRowHeight="14.4"/>
  <cols>
    <col min="1" max="1" width="29.6640625" customWidth="1"/>
  </cols>
  <sheetData>
    <row r="1" spans="1:3">
      <c r="A1" s="251" t="s">
        <v>163</v>
      </c>
      <c r="B1" s="252" t="s">
        <v>164</v>
      </c>
      <c r="C1" s="252" t="s">
        <v>165</v>
      </c>
    </row>
    <row r="2" spans="1:3">
      <c r="A2" s="134" t="s">
        <v>47</v>
      </c>
      <c r="B2" s="135">
        <v>0</v>
      </c>
      <c r="C2" s="136">
        <v>6</v>
      </c>
    </row>
    <row r="3" spans="1:3">
      <c r="A3" s="201" t="s">
        <v>50</v>
      </c>
      <c r="B3" s="200">
        <v>0</v>
      </c>
      <c r="C3" s="202">
        <v>6</v>
      </c>
    </row>
    <row r="4" spans="1:3">
      <c r="A4" s="201" t="s">
        <v>19</v>
      </c>
      <c r="B4" s="200">
        <v>0</v>
      </c>
      <c r="C4" s="202">
        <v>6</v>
      </c>
    </row>
    <row r="5" spans="1:3">
      <c r="A5" s="201" t="s">
        <v>300</v>
      </c>
      <c r="B5" s="200">
        <v>1.5</v>
      </c>
      <c r="C5" s="202">
        <v>6</v>
      </c>
    </row>
    <row r="6" spans="1:3">
      <c r="A6" s="334" t="s">
        <v>301</v>
      </c>
      <c r="B6" s="237">
        <v>0</v>
      </c>
      <c r="C6" s="335">
        <v>6</v>
      </c>
    </row>
    <row r="7" spans="1:3">
      <c r="A7" s="253" t="s">
        <v>53</v>
      </c>
      <c r="B7" s="254">
        <v>0</v>
      </c>
      <c r="C7" s="255">
        <v>6</v>
      </c>
    </row>
  </sheetData>
  <customSheetViews>
    <customSheetView guid="{0C99ABE2-728B-4C30-A993-CD651C64FAAE}" state="hidden">
      <selection activeCell="E14" sqref="E14"/>
      <pageMargins left="0.7" right="0.7" top="0.75" bottom="0.75" header="0.3" footer="0.3"/>
      <pageSetup paperSize="9" orientation="portrait" r:id="rId1"/>
    </customSheetView>
    <customSheetView guid="{2BA56ECA-30F6-456D-AB26-04DD1698A098}" state="hidden">
      <selection activeCell="E14" sqref="E14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outlinePr summaryBelow="0" summaryRight="0"/>
  </sheetPr>
  <dimension ref="B4:F33"/>
  <sheetViews>
    <sheetView showGridLines="0" zoomScaleNormal="100" zoomScaleSheetLayoutView="100" zoomScalePageLayoutView="85" workbookViewId="0">
      <selection activeCell="B10" sqref="B10"/>
    </sheetView>
  </sheetViews>
  <sheetFormatPr defaultColWidth="9.109375" defaultRowHeight="14.4" outlineLevelRow="1"/>
  <cols>
    <col min="1" max="1" width="2.88671875" style="3" customWidth="1"/>
    <col min="2" max="2" width="73.44140625" style="3" customWidth="1"/>
    <col min="3" max="3" width="17.88671875" style="3" customWidth="1"/>
    <col min="4" max="5" width="9.109375" style="3"/>
    <col min="6" max="6" width="28.6640625" style="3" bestFit="1" customWidth="1"/>
    <col min="7" max="16384" width="9.109375" style="3"/>
  </cols>
  <sheetData>
    <row r="4" spans="2:6" ht="28.2" customHeight="1"/>
    <row r="6" spans="2:6" ht="18" customHeight="1">
      <c r="B6" s="530" t="s">
        <v>568</v>
      </c>
      <c r="C6" s="555"/>
      <c r="E6" s="4"/>
      <c r="F6" s="4"/>
    </row>
    <row r="7" spans="2:6" s="385" customFormat="1" ht="15" customHeight="1">
      <c r="B7" s="472"/>
      <c r="C7" s="386"/>
      <c r="E7" s="4"/>
      <c r="F7" s="4"/>
    </row>
    <row r="8" spans="2:6" ht="30" customHeight="1">
      <c r="B8" s="540" t="s">
        <v>166</v>
      </c>
      <c r="C8" s="546" t="s">
        <v>1914</v>
      </c>
      <c r="E8" s="4"/>
      <c r="F8" s="4"/>
    </row>
    <row r="9" spans="2:6" ht="60" customHeight="1">
      <c r="B9" s="468" t="s">
        <v>569</v>
      </c>
      <c r="C9" s="547"/>
      <c r="E9" s="4"/>
      <c r="F9" s="4"/>
    </row>
    <row r="10" spans="2:6" ht="20.399999999999999" customHeight="1" outlineLevel="1">
      <c r="B10" s="559" t="s">
        <v>1915</v>
      </c>
      <c r="C10" s="544">
        <v>767</v>
      </c>
      <c r="E10" s="4"/>
    </row>
    <row r="11" spans="2:6" ht="25.2" customHeight="1" outlineLevel="1">
      <c r="B11" s="559" t="s">
        <v>1916</v>
      </c>
      <c r="C11" s="545">
        <v>971</v>
      </c>
      <c r="E11" s="4"/>
    </row>
    <row r="12" spans="2:6" ht="24" customHeight="1" outlineLevel="1">
      <c r="B12" s="559" t="s">
        <v>1917</v>
      </c>
      <c r="C12" s="544">
        <v>1208</v>
      </c>
      <c r="E12" s="4"/>
    </row>
    <row r="13" spans="2:6" ht="24.6" customHeight="1" outlineLevel="1">
      <c r="B13" s="559" t="s">
        <v>1918</v>
      </c>
      <c r="C13" s="545">
        <v>1491</v>
      </c>
      <c r="E13" s="4"/>
    </row>
    <row r="14" spans="2:6" ht="27" customHeight="1" outlineLevel="1">
      <c r="B14" s="559" t="s">
        <v>1919</v>
      </c>
      <c r="C14" s="545">
        <v>1899</v>
      </c>
      <c r="E14" s="4"/>
    </row>
    <row r="15" spans="2:6" ht="27.6" customHeight="1" outlineLevel="1">
      <c r="B15" s="559" t="s">
        <v>1920</v>
      </c>
      <c r="C15" s="545">
        <v>1935</v>
      </c>
      <c r="E15" s="4"/>
    </row>
    <row r="16" spans="2:6" ht="24" customHeight="1" outlineLevel="1">
      <c r="B16" s="559" t="s">
        <v>2255</v>
      </c>
      <c r="C16" s="544">
        <v>767</v>
      </c>
      <c r="E16" s="4"/>
    </row>
    <row r="17" spans="2:6" ht="27" customHeight="1" outlineLevel="1">
      <c r="B17" s="559" t="s">
        <v>2256</v>
      </c>
      <c r="C17" s="545">
        <v>971</v>
      </c>
      <c r="E17" s="4"/>
    </row>
    <row r="18" spans="2:6" ht="25.2" customHeight="1" outlineLevel="1">
      <c r="B18" s="559" t="s">
        <v>2257</v>
      </c>
      <c r="C18" s="544">
        <v>1208</v>
      </c>
      <c r="E18" s="4"/>
    </row>
    <row r="19" spans="2:6" ht="30.6" customHeight="1" outlineLevel="1">
      <c r="B19" s="559" t="s">
        <v>2258</v>
      </c>
      <c r="C19" s="545">
        <v>1491</v>
      </c>
      <c r="E19" s="4"/>
    </row>
    <row r="20" spans="2:6" ht="30.6" customHeight="1" outlineLevel="1">
      <c r="B20" s="559" t="s">
        <v>2259</v>
      </c>
      <c r="C20" s="545">
        <v>1899</v>
      </c>
      <c r="E20" s="4"/>
    </row>
    <row r="21" spans="2:6" ht="25.2" customHeight="1" outlineLevel="1">
      <c r="B21" s="559" t="s">
        <v>2260</v>
      </c>
      <c r="C21" s="545">
        <v>1935</v>
      </c>
      <c r="E21" s="4"/>
    </row>
    <row r="22" spans="2:6" ht="20.399999999999999" outlineLevel="1">
      <c r="B22" s="540" t="s">
        <v>166</v>
      </c>
      <c r="C22" s="546" t="s">
        <v>2249</v>
      </c>
      <c r="E22" s="4"/>
    </row>
    <row r="23" spans="2:6" ht="60" customHeight="1">
      <c r="B23" s="468" t="s">
        <v>2251</v>
      </c>
      <c r="C23" s="547"/>
      <c r="E23" s="4"/>
      <c r="F23" s="4"/>
    </row>
    <row r="24" spans="2:6" ht="29.4" customHeight="1" outlineLevel="1">
      <c r="B24" s="560" t="s">
        <v>2252</v>
      </c>
      <c r="C24" s="545">
        <v>160265</v>
      </c>
      <c r="E24" s="4"/>
    </row>
    <row r="25" spans="2:6" ht="29.4" customHeight="1" outlineLevel="1">
      <c r="B25" s="560" t="s">
        <v>2253</v>
      </c>
      <c r="C25" s="545">
        <v>188801</v>
      </c>
      <c r="E25" s="4"/>
    </row>
    <row r="26" spans="2:6" ht="33.6" customHeight="1" outlineLevel="1">
      <c r="B26" s="560" t="s">
        <v>2254</v>
      </c>
      <c r="C26" s="545">
        <v>211192</v>
      </c>
      <c r="E26" s="4"/>
    </row>
    <row r="27" spans="2:6">
      <c r="E27" s="4"/>
      <c r="F27" s="4"/>
    </row>
    <row r="28" spans="2:6">
      <c r="E28" s="4"/>
      <c r="F28" s="4"/>
    </row>
    <row r="29" spans="2:6">
      <c r="E29" s="4"/>
      <c r="F29" s="4"/>
    </row>
    <row r="30" spans="2:6">
      <c r="E30" s="4"/>
      <c r="F30" s="4"/>
    </row>
    <row r="31" spans="2:6">
      <c r="E31" s="4"/>
      <c r="F31" s="4"/>
    </row>
    <row r="32" spans="2:6">
      <c r="E32" s="4"/>
      <c r="F32" s="4"/>
    </row>
    <row r="33" spans="5:6">
      <c r="E33" s="4"/>
      <c r="F33" s="4"/>
    </row>
  </sheetData>
  <sheetProtection selectLockedCells="1" selectUnlockedCells="1"/>
  <customSheetViews>
    <customSheetView guid="{0C99ABE2-728B-4C30-A993-CD651C64FAAE}" showGridLines="0" printArea="1" hiddenRows="1" topLeftCell="A6">
      <selection activeCell="I1" sqref="I1:J1048576"/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2BA56ECA-30F6-456D-AB26-04DD1698A098}" showGridLines="0" topLeftCell="A42">
      <selection activeCell="L193" sqref="L193"/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hyperlinks>
    <hyperlink ref="B10:B21" r:id="rId3" display="Вентиляционная установка с пластинчатым рекуператором LV-PACU-250-P-AC-E50"/>
    <hyperlink ref="B24:B26" r:id="rId4" display="Вентиляционная установка LV-DECU-350-E-2,8-EC-GTC-E63"/>
  </hyperlink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5"/>
  <drawing r:id="rId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outlinePr summaryBelow="0" summaryRight="0"/>
  </sheetPr>
  <dimension ref="A1:E117"/>
  <sheetViews>
    <sheetView showGridLines="0" zoomScaleNormal="100" zoomScaleSheetLayoutView="100" zoomScalePageLayoutView="85" workbookViewId="0">
      <selection activeCell="B12" sqref="B12"/>
    </sheetView>
  </sheetViews>
  <sheetFormatPr defaultColWidth="9.109375" defaultRowHeight="14.4" outlineLevelRow="1"/>
  <cols>
    <col min="1" max="1" width="2.88671875" style="3" customWidth="1"/>
    <col min="2" max="2" width="61" style="1" customWidth="1"/>
    <col min="3" max="3" width="15" style="1" customWidth="1"/>
    <col min="4" max="4" width="13.33203125" style="1" customWidth="1"/>
    <col min="5" max="16384" width="9.109375" style="1"/>
  </cols>
  <sheetData>
    <row r="1" spans="2:5" s="3" customFormat="1"/>
    <row r="2" spans="2:5" s="3" customFormat="1"/>
    <row r="3" spans="2:5" s="3" customFormat="1"/>
    <row r="4" spans="2:5" s="3" customFormat="1"/>
    <row r="5" spans="2:5" s="3" customFormat="1"/>
    <row r="6" spans="2:5" s="3" customFormat="1" ht="15" customHeight="1">
      <c r="B6" s="4"/>
      <c r="C6" s="4"/>
    </row>
    <row r="7" spans="2:5" s="3" customFormat="1" ht="18" customHeight="1">
      <c r="B7" s="529" t="s">
        <v>576</v>
      </c>
      <c r="C7" s="555"/>
    </row>
    <row r="8" spans="2:5" s="385" customFormat="1" ht="15" customHeight="1">
      <c r="B8" s="384"/>
      <c r="C8" s="386"/>
    </row>
    <row r="9" spans="2:5" s="3" customFormat="1" ht="30" customHeight="1">
      <c r="B9" s="540" t="s">
        <v>166</v>
      </c>
      <c r="C9" s="546" t="s">
        <v>2249</v>
      </c>
    </row>
    <row r="10" spans="2:5" s="3" customFormat="1" ht="60" customHeight="1">
      <c r="B10" s="553" t="s">
        <v>543</v>
      </c>
      <c r="C10" s="467"/>
      <c r="D10" s="548"/>
    </row>
    <row r="11" spans="2:5" s="3" customFormat="1" outlineLevel="1">
      <c r="B11" s="562" t="s">
        <v>660</v>
      </c>
      <c r="C11" s="532">
        <v>9360</v>
      </c>
      <c r="E11" s="551"/>
    </row>
    <row r="12" spans="2:5" s="3" customFormat="1" outlineLevel="1">
      <c r="B12" s="561" t="s">
        <v>669</v>
      </c>
      <c r="C12" s="532">
        <v>9623</v>
      </c>
      <c r="E12" s="551"/>
    </row>
    <row r="13" spans="2:5" s="3" customFormat="1" outlineLevel="1">
      <c r="B13" s="562" t="s">
        <v>677</v>
      </c>
      <c r="C13" s="532">
        <v>12191</v>
      </c>
      <c r="E13" s="551"/>
    </row>
    <row r="14" spans="2:5" s="3" customFormat="1" outlineLevel="1">
      <c r="B14" s="562" t="s">
        <v>684</v>
      </c>
      <c r="C14" s="532">
        <v>14427</v>
      </c>
      <c r="E14" s="551"/>
    </row>
    <row r="15" spans="2:5" s="3" customFormat="1" outlineLevel="1">
      <c r="B15" s="562" t="s">
        <v>691</v>
      </c>
      <c r="C15" s="532">
        <v>15992</v>
      </c>
      <c r="E15" s="551"/>
    </row>
    <row r="16" spans="2:5" s="3" customFormat="1" outlineLevel="1">
      <c r="B16" s="562" t="s">
        <v>698</v>
      </c>
      <c r="C16" s="532">
        <v>19573</v>
      </c>
      <c r="E16" s="551"/>
    </row>
    <row r="17" spans="2:5" s="3" customFormat="1" ht="60" customHeight="1">
      <c r="B17" s="468" t="s">
        <v>544</v>
      </c>
      <c r="C17" s="467"/>
      <c r="E17" s="551"/>
    </row>
    <row r="18" spans="2:5" s="225" customFormat="1" outlineLevel="1">
      <c r="B18" s="560" t="s">
        <v>1921</v>
      </c>
      <c r="C18" s="532">
        <v>82178</v>
      </c>
      <c r="D18" s="3"/>
      <c r="E18" s="551"/>
    </row>
    <row r="19" spans="2:5" s="549" customFormat="1" outlineLevel="1">
      <c r="B19" s="560" t="s">
        <v>1922</v>
      </c>
      <c r="C19" s="532">
        <v>82240</v>
      </c>
      <c r="D19" s="3"/>
      <c r="E19" s="551"/>
    </row>
    <row r="20" spans="2:5" s="549" customFormat="1" outlineLevel="1">
      <c r="B20" s="560" t="s">
        <v>1923</v>
      </c>
      <c r="C20" s="532">
        <v>93626</v>
      </c>
      <c r="D20" s="3"/>
      <c r="E20" s="551"/>
    </row>
    <row r="21" spans="2:5" s="549" customFormat="1" outlineLevel="1">
      <c r="B21" s="560" t="s">
        <v>1924</v>
      </c>
      <c r="C21" s="532">
        <v>113009</v>
      </c>
      <c r="D21" s="3"/>
      <c r="E21" s="551"/>
    </row>
    <row r="22" spans="2:5" s="549" customFormat="1" outlineLevel="1">
      <c r="B22" s="560" t="s">
        <v>1925</v>
      </c>
      <c r="C22" s="532">
        <v>178653</v>
      </c>
      <c r="D22" s="3"/>
      <c r="E22" s="551"/>
    </row>
    <row r="23" spans="2:5" s="549" customFormat="1" outlineLevel="1">
      <c r="B23" s="560" t="s">
        <v>1926</v>
      </c>
      <c r="C23" s="532">
        <v>28857</v>
      </c>
      <c r="D23" s="3"/>
      <c r="E23" s="551"/>
    </row>
    <row r="24" spans="2:5" s="549" customFormat="1" outlineLevel="1">
      <c r="B24" s="560" t="s">
        <v>1927</v>
      </c>
      <c r="C24" s="532">
        <v>37391</v>
      </c>
      <c r="D24" s="3"/>
      <c r="E24" s="551"/>
    </row>
    <row r="25" spans="2:5" s="549" customFormat="1" outlineLevel="1">
      <c r="B25" s="560" t="s">
        <v>1928</v>
      </c>
      <c r="C25" s="532">
        <v>38217</v>
      </c>
      <c r="D25" s="3"/>
      <c r="E25" s="551"/>
    </row>
    <row r="26" spans="2:5" s="549" customFormat="1" outlineLevel="1">
      <c r="B26" s="560" t="s">
        <v>1929</v>
      </c>
      <c r="C26" s="532">
        <v>58487</v>
      </c>
      <c r="D26" s="3"/>
      <c r="E26" s="551"/>
    </row>
    <row r="27" spans="2:5" s="549" customFormat="1" outlineLevel="1">
      <c r="B27" s="560" t="s">
        <v>1930</v>
      </c>
      <c r="C27" s="532">
        <v>59809</v>
      </c>
      <c r="D27" s="3"/>
      <c r="E27" s="551"/>
    </row>
    <row r="28" spans="2:5" s="549" customFormat="1" outlineLevel="1">
      <c r="B28" s="560" t="s">
        <v>1931</v>
      </c>
      <c r="C28" s="532">
        <v>65679</v>
      </c>
      <c r="D28" s="3"/>
      <c r="E28" s="551"/>
    </row>
    <row r="29" spans="2:5" s="2" customFormat="1" outlineLevel="1">
      <c r="B29" s="560" t="s">
        <v>1932</v>
      </c>
      <c r="C29" s="532">
        <v>64293</v>
      </c>
      <c r="D29" s="3"/>
      <c r="E29" s="551"/>
    </row>
    <row r="30" spans="2:5" s="549" customFormat="1" outlineLevel="1">
      <c r="B30" s="560" t="s">
        <v>1933</v>
      </c>
      <c r="C30" s="532">
        <v>70458</v>
      </c>
      <c r="D30" s="3"/>
      <c r="E30" s="551"/>
    </row>
    <row r="31" spans="2:5" s="549" customFormat="1" outlineLevel="1">
      <c r="B31" s="560" t="s">
        <v>1934</v>
      </c>
      <c r="C31" s="532">
        <v>67238</v>
      </c>
      <c r="D31" s="3"/>
      <c r="E31" s="551"/>
    </row>
    <row r="32" spans="2:5" s="549" customFormat="1" outlineLevel="1">
      <c r="B32" s="560" t="s">
        <v>1935</v>
      </c>
      <c r="C32" s="532">
        <v>89411</v>
      </c>
      <c r="D32" s="3"/>
      <c r="E32" s="551"/>
    </row>
    <row r="33" spans="2:5" outlineLevel="1">
      <c r="B33" s="560" t="s">
        <v>1936</v>
      </c>
      <c r="C33" s="532">
        <v>80035</v>
      </c>
      <c r="D33" s="3"/>
      <c r="E33" s="551"/>
    </row>
    <row r="34" spans="2:5" s="3" customFormat="1" outlineLevel="1">
      <c r="B34" s="560" t="s">
        <v>1937</v>
      </c>
      <c r="C34" s="532">
        <v>108897</v>
      </c>
      <c r="E34" s="551"/>
    </row>
    <row r="35" spans="2:5" s="3" customFormat="1" outlineLevel="1">
      <c r="B35" s="560" t="s">
        <v>1938</v>
      </c>
      <c r="C35" s="532">
        <v>148676</v>
      </c>
      <c r="E35" s="551"/>
    </row>
    <row r="36" spans="2:5" outlineLevel="1">
      <c r="B36" s="560" t="s">
        <v>1939</v>
      </c>
      <c r="C36" s="532">
        <v>115025</v>
      </c>
      <c r="D36" s="3"/>
      <c r="E36" s="551"/>
    </row>
    <row r="37" spans="2:5" s="3" customFormat="1" outlineLevel="1">
      <c r="B37" s="560" t="s">
        <v>1940</v>
      </c>
      <c r="C37" s="532">
        <v>150322</v>
      </c>
      <c r="E37" s="551"/>
    </row>
    <row r="38" spans="2:5" s="3" customFormat="1" ht="60" customHeight="1">
      <c r="B38" s="553" t="s">
        <v>547</v>
      </c>
      <c r="C38" s="467"/>
      <c r="E38" s="551"/>
    </row>
    <row r="39" spans="2:5" s="549" customFormat="1" outlineLevel="1">
      <c r="B39" s="560" t="s">
        <v>1941</v>
      </c>
      <c r="C39" s="532">
        <v>88423</v>
      </c>
      <c r="D39" s="3"/>
      <c r="E39" s="551"/>
    </row>
    <row r="40" spans="2:5" outlineLevel="1">
      <c r="B40" s="563" t="s">
        <v>716</v>
      </c>
      <c r="C40" s="532">
        <v>91046</v>
      </c>
      <c r="D40" s="3"/>
      <c r="E40" s="551"/>
    </row>
    <row r="41" spans="2:5" s="2" customFormat="1" outlineLevel="1">
      <c r="B41" s="560" t="s">
        <v>726</v>
      </c>
      <c r="C41" s="532">
        <v>102793</v>
      </c>
      <c r="D41" s="3"/>
      <c r="E41" s="551"/>
    </row>
    <row r="42" spans="2:5" outlineLevel="1">
      <c r="B42" s="563" t="s">
        <v>1379</v>
      </c>
      <c r="C42" s="532">
        <v>101410</v>
      </c>
      <c r="D42" s="3"/>
      <c r="E42" s="551"/>
    </row>
    <row r="43" spans="2:5" s="3" customFormat="1" outlineLevel="1">
      <c r="B43" s="563" t="s">
        <v>735</v>
      </c>
      <c r="C43" s="532">
        <v>109576</v>
      </c>
      <c r="E43" s="551"/>
    </row>
    <row r="44" spans="2:5" s="3" customFormat="1" outlineLevel="1">
      <c r="B44" s="563" t="s">
        <v>1380</v>
      </c>
      <c r="C44" s="532">
        <v>106356</v>
      </c>
      <c r="E44" s="551"/>
    </row>
    <row r="45" spans="2:5" s="3" customFormat="1" outlineLevel="1">
      <c r="B45" s="563" t="s">
        <v>740</v>
      </c>
      <c r="C45" s="532">
        <v>134950</v>
      </c>
      <c r="E45" s="551"/>
    </row>
    <row r="46" spans="2:5" s="2" customFormat="1" outlineLevel="1">
      <c r="B46" s="560" t="s">
        <v>1942</v>
      </c>
      <c r="C46" s="532">
        <v>125572</v>
      </c>
      <c r="D46" s="3"/>
      <c r="E46" s="551"/>
    </row>
    <row r="47" spans="2:5" outlineLevel="1">
      <c r="B47" s="563" t="s">
        <v>748</v>
      </c>
      <c r="C47" s="532">
        <v>160690</v>
      </c>
      <c r="D47" s="3"/>
      <c r="E47" s="551"/>
    </row>
    <row r="48" spans="2:5" outlineLevel="1">
      <c r="B48" s="563" t="s">
        <v>753</v>
      </c>
      <c r="C48" s="532">
        <v>203787</v>
      </c>
      <c r="D48" s="3"/>
      <c r="E48" s="551"/>
    </row>
    <row r="49" spans="2:5" outlineLevel="1">
      <c r="B49" s="560" t="s">
        <v>1943</v>
      </c>
      <c r="C49" s="532">
        <v>170137</v>
      </c>
      <c r="D49" s="3"/>
      <c r="E49" s="551"/>
    </row>
    <row r="50" spans="2:5" outlineLevel="1">
      <c r="B50" s="563" t="s">
        <v>758</v>
      </c>
      <c r="C50" s="532">
        <v>213140</v>
      </c>
      <c r="D50" s="3"/>
      <c r="E50" s="551"/>
    </row>
    <row r="51" spans="2:5" s="3" customFormat="1" ht="60" customHeight="1">
      <c r="B51" s="474" t="s">
        <v>546</v>
      </c>
      <c r="C51" s="475"/>
      <c r="E51" s="551"/>
    </row>
    <row r="52" spans="2:5" outlineLevel="1">
      <c r="B52" s="560" t="s">
        <v>771</v>
      </c>
      <c r="C52" s="532">
        <v>80955</v>
      </c>
      <c r="D52" s="3"/>
      <c r="E52" s="551"/>
    </row>
    <row r="53" spans="2:5" outlineLevel="1">
      <c r="B53" s="563" t="s">
        <v>772</v>
      </c>
      <c r="C53" s="532">
        <v>96418</v>
      </c>
      <c r="D53" s="3"/>
      <c r="E53" s="551"/>
    </row>
    <row r="54" spans="2:5" outlineLevel="1">
      <c r="B54" s="560" t="s">
        <v>773</v>
      </c>
      <c r="C54" s="532">
        <v>104282</v>
      </c>
      <c r="D54" s="3"/>
      <c r="E54" s="551"/>
    </row>
    <row r="55" spans="2:5" s="3" customFormat="1" outlineLevel="1">
      <c r="B55" s="560" t="s">
        <v>774</v>
      </c>
      <c r="C55" s="532">
        <v>121559</v>
      </c>
      <c r="E55" s="551"/>
    </row>
    <row r="56" spans="2:5" outlineLevel="1">
      <c r="B56" s="563" t="s">
        <v>1944</v>
      </c>
      <c r="C56" s="532">
        <v>100726</v>
      </c>
      <c r="D56" s="3"/>
      <c r="E56" s="551"/>
    </row>
    <row r="57" spans="2:5" s="3" customFormat="1" outlineLevel="1">
      <c r="B57" s="563" t="s">
        <v>775</v>
      </c>
      <c r="C57" s="532">
        <v>114609</v>
      </c>
      <c r="E57" s="551"/>
    </row>
    <row r="58" spans="2:5" outlineLevel="1">
      <c r="B58" s="560" t="s">
        <v>1945</v>
      </c>
      <c r="C58" s="532">
        <v>157560</v>
      </c>
      <c r="D58" s="3"/>
      <c r="E58" s="551"/>
    </row>
    <row r="59" spans="2:5" outlineLevel="1">
      <c r="B59" s="563" t="s">
        <v>777</v>
      </c>
      <c r="C59" s="532">
        <v>166851</v>
      </c>
      <c r="D59" s="3"/>
      <c r="E59" s="551"/>
    </row>
    <row r="60" spans="2:5" outlineLevel="1">
      <c r="B60" s="560" t="s">
        <v>776</v>
      </c>
      <c r="C60" s="532">
        <v>221652</v>
      </c>
      <c r="D60" s="3"/>
      <c r="E60" s="551"/>
    </row>
    <row r="61" spans="2:5" outlineLevel="1">
      <c r="B61" s="563" t="s">
        <v>778</v>
      </c>
      <c r="C61" s="532">
        <v>185964</v>
      </c>
      <c r="D61" s="3"/>
      <c r="E61" s="551"/>
    </row>
    <row r="62" spans="2:5" s="3" customFormat="1" outlineLevel="1">
      <c r="B62" s="563" t="s">
        <v>779</v>
      </c>
      <c r="C62" s="532">
        <v>225281</v>
      </c>
      <c r="E62" s="551"/>
    </row>
    <row r="63" spans="2:5" outlineLevel="1">
      <c r="B63" s="560" t="s">
        <v>1946</v>
      </c>
      <c r="C63" s="532">
        <v>193078</v>
      </c>
      <c r="D63" s="3"/>
      <c r="E63" s="551"/>
    </row>
    <row r="64" spans="2:5" s="3" customFormat="1" outlineLevel="1">
      <c r="B64" s="560" t="s">
        <v>780</v>
      </c>
      <c r="C64" s="532">
        <v>307996</v>
      </c>
      <c r="E64" s="551"/>
    </row>
    <row r="65" spans="2:5" outlineLevel="1">
      <c r="B65" s="563" t="s">
        <v>1947</v>
      </c>
      <c r="C65" s="532">
        <v>267417</v>
      </c>
      <c r="D65" s="3"/>
      <c r="E65" s="551"/>
    </row>
    <row r="66" spans="2:5" s="3" customFormat="1" outlineLevel="1">
      <c r="B66" s="563" t="s">
        <v>781</v>
      </c>
      <c r="C66" s="532">
        <v>399132</v>
      </c>
      <c r="E66" s="551"/>
    </row>
    <row r="67" spans="2:5" s="3" customFormat="1" outlineLevel="1">
      <c r="B67" s="563" t="s">
        <v>1948</v>
      </c>
      <c r="C67" s="532">
        <v>340871</v>
      </c>
      <c r="E67" s="551"/>
    </row>
    <row r="68" spans="2:5" outlineLevel="1">
      <c r="B68" s="560" t="s">
        <v>1949</v>
      </c>
      <c r="C68" s="532">
        <v>323908</v>
      </c>
      <c r="D68" s="3"/>
      <c r="E68" s="551"/>
    </row>
    <row r="69" spans="2:5" s="3" customFormat="1" ht="60" customHeight="1">
      <c r="B69" s="553" t="s">
        <v>575</v>
      </c>
      <c r="C69" s="467"/>
      <c r="E69" s="551"/>
    </row>
    <row r="70" spans="2:5" outlineLevel="1">
      <c r="B70" s="563" t="s">
        <v>1536</v>
      </c>
      <c r="C70" s="532">
        <v>42086</v>
      </c>
      <c r="D70" s="3"/>
      <c r="E70" s="551"/>
    </row>
    <row r="71" spans="2:5" outlineLevel="1">
      <c r="B71" s="560" t="s">
        <v>1537</v>
      </c>
      <c r="C71" s="532">
        <v>51272</v>
      </c>
      <c r="D71" s="3"/>
      <c r="E71" s="551"/>
    </row>
    <row r="72" spans="2:5" outlineLevel="1">
      <c r="B72" s="563" t="s">
        <v>1538</v>
      </c>
      <c r="C72" s="532">
        <v>57113</v>
      </c>
      <c r="D72" s="3"/>
      <c r="E72" s="551"/>
    </row>
    <row r="73" spans="2:5" outlineLevel="1">
      <c r="B73" s="560" t="s">
        <v>1540</v>
      </c>
      <c r="C73" s="532">
        <v>79665</v>
      </c>
      <c r="D73" s="3"/>
      <c r="E73" s="551"/>
    </row>
    <row r="74" spans="2:5" outlineLevel="1">
      <c r="B74" s="563" t="s">
        <v>1539</v>
      </c>
      <c r="C74" s="532">
        <v>77394</v>
      </c>
      <c r="D74" s="3"/>
      <c r="E74" s="551"/>
    </row>
    <row r="75" spans="2:5" outlineLevel="1">
      <c r="B75" s="560" t="s">
        <v>1542</v>
      </c>
      <c r="C75" s="532">
        <v>96667</v>
      </c>
      <c r="D75" s="3"/>
      <c r="E75" s="551"/>
    </row>
    <row r="76" spans="2:5" outlineLevel="1">
      <c r="B76" s="563" t="s">
        <v>1541</v>
      </c>
      <c r="C76" s="532">
        <v>87961</v>
      </c>
      <c r="D76" s="3"/>
      <c r="E76" s="551"/>
    </row>
    <row r="77" spans="2:5" outlineLevel="1">
      <c r="B77" s="560" t="s">
        <v>1544</v>
      </c>
      <c r="C77" s="532">
        <v>164445</v>
      </c>
      <c r="D77" s="3"/>
      <c r="E77" s="551"/>
    </row>
    <row r="78" spans="2:5" outlineLevel="1">
      <c r="B78" s="563" t="s">
        <v>1543</v>
      </c>
      <c r="C78" s="532">
        <v>90310</v>
      </c>
      <c r="D78" s="3"/>
      <c r="E78" s="551"/>
    </row>
    <row r="79" spans="2:5" outlineLevel="1">
      <c r="B79" s="560" t="s">
        <v>1545</v>
      </c>
      <c r="C79" s="532">
        <v>109311</v>
      </c>
      <c r="D79" s="3"/>
      <c r="E79" s="551"/>
    </row>
    <row r="80" spans="2:5" outlineLevel="1">
      <c r="B80" s="563" t="s">
        <v>1547</v>
      </c>
      <c r="C80" s="532">
        <v>136741</v>
      </c>
      <c r="D80" s="3"/>
      <c r="E80" s="551"/>
    </row>
    <row r="81" spans="2:5" outlineLevel="1">
      <c r="B81" s="560" t="s">
        <v>1546</v>
      </c>
      <c r="C81" s="532">
        <v>137008</v>
      </c>
      <c r="D81" s="3"/>
      <c r="E81" s="551"/>
    </row>
    <row r="82" spans="2:5" s="3" customFormat="1" outlineLevel="1">
      <c r="B82" s="560" t="s">
        <v>1548</v>
      </c>
      <c r="C82" s="532">
        <v>196822</v>
      </c>
      <c r="E82" s="551"/>
    </row>
    <row r="83" spans="2:5" outlineLevel="1">
      <c r="B83" s="563" t="s">
        <v>1950</v>
      </c>
      <c r="C83" s="532">
        <v>205955</v>
      </c>
      <c r="D83" s="3"/>
      <c r="E83" s="551"/>
    </row>
    <row r="84" spans="2:5" outlineLevel="1">
      <c r="B84" s="560" t="s">
        <v>1551</v>
      </c>
      <c r="C84" s="532">
        <v>314991</v>
      </c>
      <c r="D84" s="3"/>
      <c r="E84" s="551"/>
    </row>
    <row r="85" spans="2:5" outlineLevel="1">
      <c r="B85" s="563" t="s">
        <v>1550</v>
      </c>
      <c r="C85" s="532">
        <v>265597</v>
      </c>
      <c r="D85" s="3"/>
      <c r="E85" s="551"/>
    </row>
    <row r="86" spans="2:5" outlineLevel="1">
      <c r="B86" s="560" t="s">
        <v>1549</v>
      </c>
      <c r="C86" s="532">
        <v>244773</v>
      </c>
      <c r="D86" s="3"/>
      <c r="E86" s="551"/>
    </row>
    <row r="87" spans="2:5" outlineLevel="1">
      <c r="B87" s="563" t="s">
        <v>1553</v>
      </c>
      <c r="C87" s="532">
        <v>450260</v>
      </c>
      <c r="D87" s="3"/>
      <c r="E87" s="551"/>
    </row>
    <row r="88" spans="2:5" outlineLevel="1">
      <c r="B88" s="560" t="s">
        <v>1552</v>
      </c>
      <c r="C88" s="532">
        <v>394848</v>
      </c>
      <c r="D88" s="3"/>
      <c r="E88" s="551"/>
    </row>
    <row r="89" spans="2:5" outlineLevel="1">
      <c r="B89" s="563" t="s">
        <v>1556</v>
      </c>
      <c r="C89" s="532">
        <v>660937</v>
      </c>
      <c r="D89" s="3"/>
      <c r="E89" s="551"/>
    </row>
    <row r="90" spans="2:5" outlineLevel="1">
      <c r="B90" s="560" t="s">
        <v>1555</v>
      </c>
      <c r="C90" s="532">
        <v>543494</v>
      </c>
      <c r="D90" s="3"/>
      <c r="E90" s="551"/>
    </row>
    <row r="91" spans="2:5" outlineLevel="1">
      <c r="B91" s="563" t="s">
        <v>1554</v>
      </c>
      <c r="C91" s="532">
        <v>466615</v>
      </c>
      <c r="D91" s="3"/>
      <c r="E91" s="551"/>
    </row>
    <row r="92" spans="2:5" outlineLevel="1">
      <c r="B92" s="560" t="s">
        <v>1558</v>
      </c>
      <c r="C92" s="532">
        <v>727300</v>
      </c>
      <c r="D92" s="3"/>
      <c r="E92" s="551"/>
    </row>
    <row r="93" spans="2:5" outlineLevel="1">
      <c r="B93" s="563" t="s">
        <v>1557</v>
      </c>
      <c r="C93" s="532">
        <v>697724</v>
      </c>
      <c r="D93" s="3"/>
      <c r="E93" s="551"/>
    </row>
    <row r="94" spans="2:5" s="3" customFormat="1" ht="60" customHeight="1">
      <c r="B94" s="553" t="s">
        <v>574</v>
      </c>
      <c r="C94" s="467"/>
      <c r="E94" s="551"/>
    </row>
    <row r="95" spans="2:5" s="3" customFormat="1" outlineLevel="1">
      <c r="B95" s="560" t="s">
        <v>1951</v>
      </c>
      <c r="C95" s="532">
        <v>40584</v>
      </c>
      <c r="E95" s="551"/>
    </row>
    <row r="96" spans="2:5" s="3" customFormat="1" outlineLevel="1">
      <c r="B96" s="563" t="s">
        <v>1952</v>
      </c>
      <c r="C96" s="532">
        <v>49610</v>
      </c>
      <c r="E96" s="551"/>
    </row>
    <row r="97" spans="2:5" s="3" customFormat="1" outlineLevel="1">
      <c r="B97" s="560" t="s">
        <v>1953</v>
      </c>
      <c r="C97" s="532">
        <v>55368</v>
      </c>
      <c r="E97" s="551"/>
    </row>
    <row r="98" spans="2:5" s="3" customFormat="1" outlineLevel="1">
      <c r="B98" s="563" t="s">
        <v>1954</v>
      </c>
      <c r="C98" s="532">
        <v>78069</v>
      </c>
      <c r="E98" s="551"/>
    </row>
    <row r="99" spans="2:5" s="3" customFormat="1" outlineLevel="1">
      <c r="B99" s="560" t="s">
        <v>1955</v>
      </c>
      <c r="C99" s="532">
        <v>72969</v>
      </c>
      <c r="E99" s="551"/>
    </row>
    <row r="100" spans="2:5" s="3" customFormat="1" outlineLevel="1">
      <c r="B100" s="560" t="s">
        <v>1956</v>
      </c>
      <c r="C100" s="532">
        <v>103690</v>
      </c>
      <c r="E100" s="551"/>
    </row>
    <row r="101" spans="2:5" s="3" customFormat="1" outlineLevel="1">
      <c r="B101" s="560" t="s">
        <v>1957</v>
      </c>
      <c r="C101" s="532">
        <v>82409</v>
      </c>
      <c r="E101" s="551"/>
    </row>
    <row r="102" spans="2:5" s="3" customFormat="1" outlineLevel="1">
      <c r="B102" s="563" t="s">
        <v>1958</v>
      </c>
      <c r="C102" s="532">
        <v>162618</v>
      </c>
      <c r="E102" s="551"/>
    </row>
    <row r="103" spans="2:5" s="3" customFormat="1" outlineLevel="1">
      <c r="B103" s="560" t="s">
        <v>1959</v>
      </c>
      <c r="C103" s="532">
        <v>101657</v>
      </c>
      <c r="E103" s="551"/>
    </row>
    <row r="104" spans="2:5" s="3" customFormat="1" outlineLevel="1">
      <c r="B104" s="563" t="s">
        <v>1960</v>
      </c>
      <c r="C104" s="532">
        <v>106889</v>
      </c>
      <c r="E104" s="551"/>
    </row>
    <row r="105" spans="2:5" s="3" customFormat="1" outlineLevel="1">
      <c r="B105" s="560" t="s">
        <v>1961</v>
      </c>
      <c r="C105" s="532">
        <v>133827</v>
      </c>
      <c r="E105" s="551"/>
    </row>
    <row r="106" spans="2:5" s="3" customFormat="1" outlineLevel="1">
      <c r="B106" s="560" t="s">
        <v>1962</v>
      </c>
      <c r="C106" s="532">
        <v>134514</v>
      </c>
      <c r="E106" s="551"/>
    </row>
    <row r="107" spans="2:5" s="3" customFormat="1" outlineLevel="1">
      <c r="B107" s="560" t="s">
        <v>1963</v>
      </c>
      <c r="C107" s="532">
        <v>192843</v>
      </c>
      <c r="E107" s="551"/>
    </row>
    <row r="108" spans="2:5" s="3" customFormat="1" outlineLevel="1">
      <c r="B108" s="560" t="s">
        <v>1964</v>
      </c>
      <c r="C108" s="532">
        <v>311205</v>
      </c>
      <c r="E108" s="551"/>
    </row>
    <row r="109" spans="2:5" s="3" customFormat="1" outlineLevel="1">
      <c r="B109" s="563" t="s">
        <v>1965</v>
      </c>
      <c r="C109" s="532">
        <v>261810</v>
      </c>
      <c r="E109" s="551"/>
    </row>
    <row r="110" spans="2:5" s="3" customFormat="1" outlineLevel="1">
      <c r="B110" s="560" t="s">
        <v>1966</v>
      </c>
      <c r="C110" s="532">
        <v>238299</v>
      </c>
      <c r="E110" s="551"/>
    </row>
    <row r="111" spans="2:5" s="3" customFormat="1" outlineLevel="1">
      <c r="B111" s="563" t="s">
        <v>1967</v>
      </c>
      <c r="C111" s="532">
        <v>438876</v>
      </c>
      <c r="E111" s="551"/>
    </row>
    <row r="112" spans="2:5" s="3" customFormat="1" outlineLevel="1">
      <c r="B112" s="560" t="s">
        <v>1968</v>
      </c>
      <c r="C112" s="532">
        <v>373794</v>
      </c>
      <c r="E112" s="551"/>
    </row>
    <row r="113" spans="2:5" s="3" customFormat="1" outlineLevel="1">
      <c r="B113" s="560" t="s">
        <v>1969</v>
      </c>
      <c r="C113" s="532">
        <v>636672</v>
      </c>
      <c r="E113" s="551"/>
    </row>
    <row r="114" spans="2:5" s="3" customFormat="1" outlineLevel="1">
      <c r="B114" s="560" t="s">
        <v>1970</v>
      </c>
      <c r="C114" s="532">
        <v>531406</v>
      </c>
      <c r="E114" s="551"/>
    </row>
    <row r="115" spans="2:5" s="3" customFormat="1" outlineLevel="1">
      <c r="B115" s="563" t="s">
        <v>1971</v>
      </c>
      <c r="C115" s="532">
        <v>454531</v>
      </c>
      <c r="E115" s="551"/>
    </row>
    <row r="116" spans="2:5" s="3" customFormat="1" outlineLevel="1">
      <c r="B116" s="560" t="s">
        <v>1972</v>
      </c>
      <c r="C116" s="532">
        <v>714510</v>
      </c>
      <c r="E116" s="551"/>
    </row>
    <row r="117" spans="2:5" s="3" customFormat="1" outlineLevel="1">
      <c r="B117" s="563" t="s">
        <v>1973</v>
      </c>
      <c r="C117" s="532">
        <v>684937</v>
      </c>
      <c r="E117" s="551"/>
    </row>
  </sheetData>
  <sheetProtection selectLockedCells="1" selectUnlockedCells="1"/>
  <customSheetViews>
    <customSheetView guid="{0C99ABE2-728B-4C30-A993-CD651C64FAAE}" showGridLines="0" printArea="1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2BA56ECA-30F6-456D-AB26-04DD1698A098}" showGridLines="0" topLeftCell="A259">
      <selection activeCell="E278" sqref="E278"/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hyperlinks>
    <hyperlink ref="B11:B16" r:id="rId3" display="Вентилятор круглый канальный LV-FDCP 100 E16"/>
    <hyperlink ref="B18:B37" r:id="rId4" display="Вентилятор прямоугольный канальный LV-FDTA 600x300-4-1 E16"/>
    <hyperlink ref="B39:B50" r:id="rId5" display="Вентилятор шумоизолированный LV-FDTS 500x250-2-3 E16"/>
    <hyperlink ref="B52:B68" r:id="rId6" display="Вентилятор кухонный LV-FKQ 250-2-3 E16"/>
    <hyperlink ref="B70:B93" r:id="rId7" display="Вентилятор крышный LV-FRCV 250-2-3 E16"/>
    <hyperlink ref="B95:B117" r:id="rId8" display="Вентилятор крышный LV-FRCH 250-2-3 E16"/>
    <hyperlink ref="B12" r:id="rId9"/>
  </hyperlink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10"/>
  <drawing r:id="rId1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outlinePr summaryBelow="0" summaryRight="0"/>
  </sheetPr>
  <dimension ref="B7:F119"/>
  <sheetViews>
    <sheetView showGridLines="0" zoomScaleNormal="100" zoomScaleSheetLayoutView="100" zoomScalePageLayoutView="85" workbookViewId="0">
      <selection activeCell="D115" sqref="D115"/>
    </sheetView>
  </sheetViews>
  <sheetFormatPr defaultColWidth="9.109375" defaultRowHeight="14.4" outlineLevelRow="1"/>
  <cols>
    <col min="1" max="1" width="2.88671875" style="3" customWidth="1"/>
    <col min="2" max="2" width="68" style="3" customWidth="1"/>
    <col min="3" max="3" width="11.109375" style="3" customWidth="1"/>
    <col min="4" max="16384" width="9.109375" style="3"/>
  </cols>
  <sheetData>
    <row r="7" spans="2:5" ht="18" customHeight="1">
      <c r="B7" s="530" t="s">
        <v>570</v>
      </c>
      <c r="C7" s="555"/>
    </row>
    <row r="8" spans="2:5" s="385" customFormat="1" ht="15" customHeight="1">
      <c r="B8" s="472"/>
      <c r="C8" s="386"/>
    </row>
    <row r="9" spans="2:5" ht="30" customHeight="1">
      <c r="B9" s="540" t="s">
        <v>166</v>
      </c>
      <c r="C9" s="546" t="s">
        <v>2249</v>
      </c>
    </row>
    <row r="10" spans="2:5" ht="60" customHeight="1">
      <c r="B10" s="468" t="s">
        <v>571</v>
      </c>
      <c r="C10" s="467"/>
    </row>
    <row r="11" spans="2:5" outlineLevel="1">
      <c r="B11" s="563" t="s">
        <v>1974</v>
      </c>
      <c r="C11" s="532">
        <v>1253</v>
      </c>
      <c r="E11" s="551"/>
    </row>
    <row r="12" spans="2:5" outlineLevel="1">
      <c r="B12" s="563" t="s">
        <v>1975</v>
      </c>
      <c r="C12" s="532">
        <v>1132</v>
      </c>
      <c r="E12" s="551"/>
    </row>
    <row r="13" spans="2:5" outlineLevel="1">
      <c r="B13" s="563" t="s">
        <v>1976</v>
      </c>
      <c r="C13" s="532">
        <v>1338</v>
      </c>
      <c r="E13" s="551"/>
    </row>
    <row r="14" spans="2:5" outlineLevel="1">
      <c r="B14" s="563" t="s">
        <v>1977</v>
      </c>
      <c r="C14" s="532">
        <v>1624</v>
      </c>
      <c r="E14" s="551"/>
    </row>
    <row r="15" spans="2:5" outlineLevel="1">
      <c r="B15" s="563" t="s">
        <v>1978</v>
      </c>
      <c r="C15" s="532">
        <v>1996</v>
      </c>
      <c r="E15" s="551"/>
    </row>
    <row r="16" spans="2:5" outlineLevel="1">
      <c r="B16" s="563" t="s">
        <v>1979</v>
      </c>
      <c r="C16" s="532">
        <v>2467</v>
      </c>
      <c r="E16" s="551"/>
    </row>
    <row r="17" spans="2:6" ht="60" customHeight="1">
      <c r="B17" s="468" t="s">
        <v>572</v>
      </c>
      <c r="C17" s="467"/>
      <c r="E17" s="551"/>
    </row>
    <row r="18" spans="2:6" s="2" customFormat="1" outlineLevel="1">
      <c r="B18" s="563" t="s">
        <v>1130</v>
      </c>
      <c r="C18" s="532">
        <v>5866</v>
      </c>
      <c r="E18" s="551"/>
    </row>
    <row r="19" spans="2:6" s="2" customFormat="1" outlineLevel="1">
      <c r="B19" s="563" t="s">
        <v>1122</v>
      </c>
      <c r="C19" s="532">
        <v>2220</v>
      </c>
      <c r="E19" s="551"/>
    </row>
    <row r="20" spans="2:6" s="2" customFormat="1" outlineLevel="1">
      <c r="B20" s="563" t="s">
        <v>1123</v>
      </c>
      <c r="C20" s="532">
        <v>2582</v>
      </c>
      <c r="E20" s="551"/>
    </row>
    <row r="21" spans="2:6" s="2" customFormat="1" outlineLevel="1">
      <c r="B21" s="563" t="s">
        <v>1124</v>
      </c>
      <c r="C21" s="532">
        <v>2701</v>
      </c>
      <c r="E21" s="551"/>
    </row>
    <row r="22" spans="2:6" s="2" customFormat="1" outlineLevel="1">
      <c r="B22" s="563" t="s">
        <v>1125</v>
      </c>
      <c r="C22" s="532">
        <v>2941</v>
      </c>
      <c r="E22" s="551"/>
    </row>
    <row r="23" spans="2:6" s="2" customFormat="1" outlineLevel="1">
      <c r="B23" s="563" t="s">
        <v>1126</v>
      </c>
      <c r="C23" s="532">
        <v>3062</v>
      </c>
      <c r="E23" s="551"/>
    </row>
    <row r="24" spans="2:6" s="2" customFormat="1" outlineLevel="1">
      <c r="B24" s="563" t="s">
        <v>1127</v>
      </c>
      <c r="C24" s="532">
        <v>3421</v>
      </c>
      <c r="E24" s="551"/>
    </row>
    <row r="25" spans="2:6" s="2" customFormat="1" outlineLevel="1">
      <c r="B25" s="563" t="s">
        <v>1128</v>
      </c>
      <c r="C25" s="532">
        <v>3901</v>
      </c>
      <c r="E25" s="551"/>
    </row>
    <row r="26" spans="2:6" s="225" customFormat="1" outlineLevel="1">
      <c r="B26" s="563" t="s">
        <v>1129</v>
      </c>
      <c r="C26" s="532">
        <v>5534</v>
      </c>
      <c r="E26" s="551"/>
    </row>
    <row r="27" spans="2:6" ht="60" customHeight="1">
      <c r="B27" s="468" t="s">
        <v>573</v>
      </c>
      <c r="C27" s="467"/>
      <c r="E27" s="551"/>
    </row>
    <row r="28" spans="2:6" s="2" customFormat="1" outlineLevel="1">
      <c r="B28" s="563" t="s">
        <v>1141</v>
      </c>
      <c r="C28" s="532">
        <v>3663</v>
      </c>
      <c r="E28" s="551"/>
    </row>
    <row r="29" spans="2:6" s="2" customFormat="1" outlineLevel="1">
      <c r="B29" s="563" t="s">
        <v>1980</v>
      </c>
      <c r="C29" s="532">
        <v>4027</v>
      </c>
      <c r="E29" s="551"/>
      <c r="F29" s="2" t="s">
        <v>1913</v>
      </c>
    </row>
    <row r="30" spans="2:6" s="2" customFormat="1" outlineLevel="1">
      <c r="B30" s="563" t="s">
        <v>1981</v>
      </c>
      <c r="C30" s="532">
        <v>4391</v>
      </c>
      <c r="E30" s="551"/>
    </row>
    <row r="31" spans="2:6" s="2" customFormat="1" outlineLevel="1">
      <c r="B31" s="563" t="s">
        <v>1982</v>
      </c>
      <c r="C31" s="532">
        <v>4754</v>
      </c>
      <c r="E31" s="551"/>
    </row>
    <row r="32" spans="2:6" s="2" customFormat="1" outlineLevel="1">
      <c r="B32" s="563" t="s">
        <v>1145</v>
      </c>
      <c r="C32" s="532">
        <v>5116</v>
      </c>
      <c r="E32" s="551"/>
    </row>
    <row r="33" spans="2:5" s="2" customFormat="1" outlineLevel="1">
      <c r="B33" s="563" t="s">
        <v>1983</v>
      </c>
      <c r="C33" s="532">
        <v>5696</v>
      </c>
      <c r="E33" s="551"/>
    </row>
    <row r="34" spans="2:5" s="2" customFormat="1" outlineLevel="1">
      <c r="B34" s="563" t="s">
        <v>1147</v>
      </c>
      <c r="C34" s="532">
        <v>6206</v>
      </c>
      <c r="E34" s="551"/>
    </row>
    <row r="35" spans="2:5" s="2" customFormat="1" outlineLevel="1">
      <c r="B35" s="563" t="s">
        <v>1148</v>
      </c>
      <c r="C35" s="532">
        <v>6568</v>
      </c>
      <c r="E35" s="551"/>
    </row>
    <row r="36" spans="2:5" s="2" customFormat="1" outlineLevel="1">
      <c r="B36" s="563" t="s">
        <v>1984</v>
      </c>
      <c r="C36" s="532">
        <v>9312</v>
      </c>
      <c r="E36" s="551"/>
    </row>
    <row r="37" spans="2:5" s="2" customFormat="1" outlineLevel="1">
      <c r="B37" s="563" t="s">
        <v>1985</v>
      </c>
      <c r="C37" s="532">
        <v>10727</v>
      </c>
      <c r="E37" s="551"/>
    </row>
    <row r="38" spans="2:5" s="2" customFormat="1" outlineLevel="1">
      <c r="B38" s="563" t="s">
        <v>1151</v>
      </c>
      <c r="C38" s="532">
        <v>3119</v>
      </c>
      <c r="E38" s="551"/>
    </row>
    <row r="39" spans="2:5" s="2" customFormat="1" outlineLevel="1">
      <c r="B39" s="563" t="s">
        <v>1986</v>
      </c>
      <c r="C39" s="532">
        <v>3302</v>
      </c>
      <c r="E39" s="551"/>
    </row>
    <row r="40" spans="2:5" s="2" customFormat="1" outlineLevel="1">
      <c r="B40" s="563" t="s">
        <v>1987</v>
      </c>
      <c r="C40" s="532">
        <v>3663</v>
      </c>
      <c r="E40" s="551"/>
    </row>
    <row r="41" spans="2:5" s="2" customFormat="1" outlineLevel="1">
      <c r="B41" s="563" t="s">
        <v>1988</v>
      </c>
      <c r="C41" s="532">
        <v>3700</v>
      </c>
      <c r="E41" s="551"/>
    </row>
    <row r="42" spans="2:5" s="2" customFormat="1" outlineLevel="1">
      <c r="B42" s="563" t="s">
        <v>1155</v>
      </c>
      <c r="C42" s="532">
        <v>4208</v>
      </c>
      <c r="E42" s="551"/>
    </row>
    <row r="43" spans="2:5" s="2" customFormat="1" outlineLevel="1">
      <c r="B43" s="563" t="s">
        <v>1989</v>
      </c>
      <c r="C43" s="532">
        <v>4498</v>
      </c>
      <c r="E43" s="551"/>
    </row>
    <row r="44" spans="2:5" s="2" customFormat="1" outlineLevel="1">
      <c r="B44" s="563" t="s">
        <v>1157</v>
      </c>
      <c r="C44" s="532">
        <v>4935</v>
      </c>
      <c r="E44" s="551"/>
    </row>
    <row r="45" spans="2:5" s="2" customFormat="1" outlineLevel="1">
      <c r="B45" s="563" t="s">
        <v>1158</v>
      </c>
      <c r="C45" s="532">
        <v>5116</v>
      </c>
      <c r="E45" s="551"/>
    </row>
    <row r="46" spans="2:5" s="2" customFormat="1" outlineLevel="1">
      <c r="B46" s="563" t="s">
        <v>1990</v>
      </c>
      <c r="C46" s="532">
        <v>7185</v>
      </c>
      <c r="E46" s="551"/>
    </row>
    <row r="47" spans="2:5" s="2" customFormat="1" outlineLevel="1">
      <c r="B47" s="563" t="s">
        <v>1991</v>
      </c>
      <c r="C47" s="532">
        <v>8084</v>
      </c>
      <c r="E47" s="551"/>
    </row>
    <row r="48" spans="2:5" ht="54">
      <c r="B48" s="553" t="s">
        <v>1902</v>
      </c>
      <c r="C48" s="467"/>
      <c r="E48" s="551"/>
    </row>
    <row r="49" spans="2:5" outlineLevel="1">
      <c r="B49" s="563" t="s">
        <v>1992</v>
      </c>
      <c r="C49" s="532">
        <v>23908</v>
      </c>
      <c r="E49" s="551"/>
    </row>
    <row r="50" spans="2:5" outlineLevel="1">
      <c r="B50" s="563" t="s">
        <v>1993</v>
      </c>
      <c r="C50" s="532">
        <v>32539</v>
      </c>
      <c r="E50" s="551"/>
    </row>
    <row r="51" spans="2:5" outlineLevel="1">
      <c r="B51" s="563" t="s">
        <v>1994</v>
      </c>
      <c r="C51" s="532">
        <v>41722</v>
      </c>
      <c r="E51" s="551"/>
    </row>
    <row r="52" spans="2:5" outlineLevel="1">
      <c r="B52" s="563" t="s">
        <v>1995</v>
      </c>
      <c r="C52" s="532">
        <v>53246</v>
      </c>
      <c r="E52" s="551"/>
    </row>
    <row r="53" spans="2:5" outlineLevel="1">
      <c r="B53" s="563" t="s">
        <v>1996</v>
      </c>
      <c r="C53" s="532">
        <v>71718</v>
      </c>
      <c r="E53" s="551"/>
    </row>
    <row r="54" spans="2:5" ht="62.25" customHeight="1">
      <c r="B54" s="553" t="s">
        <v>1901</v>
      </c>
      <c r="C54" s="467"/>
      <c r="E54" s="551"/>
    </row>
    <row r="55" spans="2:5" outlineLevel="1">
      <c r="B55" s="563" t="s">
        <v>1997</v>
      </c>
      <c r="C55" s="532">
        <v>25912</v>
      </c>
      <c r="E55" s="551"/>
    </row>
    <row r="56" spans="2:5" outlineLevel="1">
      <c r="B56" s="563" t="s">
        <v>1998</v>
      </c>
      <c r="C56" s="532">
        <v>34421</v>
      </c>
      <c r="E56" s="551"/>
    </row>
    <row r="57" spans="2:5" outlineLevel="1">
      <c r="B57" s="563" t="s">
        <v>1999</v>
      </c>
      <c r="C57" s="532">
        <v>44608</v>
      </c>
      <c r="E57" s="551"/>
    </row>
    <row r="58" spans="2:5" outlineLevel="1">
      <c r="B58" s="563" t="s">
        <v>2000</v>
      </c>
      <c r="C58" s="532">
        <v>61842</v>
      </c>
      <c r="E58" s="551"/>
    </row>
    <row r="59" spans="2:5" outlineLevel="1">
      <c r="B59" s="563" t="s">
        <v>2001</v>
      </c>
      <c r="C59" s="532">
        <v>78684</v>
      </c>
      <c r="E59" s="551"/>
    </row>
    <row r="60" spans="2:5" ht="60" customHeight="1">
      <c r="B60" s="553" t="s">
        <v>1903</v>
      </c>
      <c r="C60" s="467"/>
      <c r="E60" s="551"/>
    </row>
    <row r="61" spans="2:5" outlineLevel="1">
      <c r="B61" s="563" t="s">
        <v>2002</v>
      </c>
      <c r="C61" s="532">
        <v>30085</v>
      </c>
      <c r="E61" s="551"/>
    </row>
    <row r="62" spans="2:5" outlineLevel="1">
      <c r="B62" s="563" t="s">
        <v>2003</v>
      </c>
      <c r="C62" s="532">
        <v>41094</v>
      </c>
      <c r="E62" s="551"/>
    </row>
    <row r="63" spans="2:5" outlineLevel="1">
      <c r="B63" s="563" t="s">
        <v>2004</v>
      </c>
      <c r="C63" s="532">
        <v>53365</v>
      </c>
      <c r="E63" s="551"/>
    </row>
    <row r="64" spans="2:5" outlineLevel="1">
      <c r="B64" s="563" t="s">
        <v>2005</v>
      </c>
      <c r="C64" s="532">
        <v>70703</v>
      </c>
      <c r="E64" s="551"/>
    </row>
    <row r="65" spans="2:5" outlineLevel="1">
      <c r="B65" s="563" t="s">
        <v>2006</v>
      </c>
      <c r="C65" s="532">
        <v>96848</v>
      </c>
      <c r="E65" s="551"/>
    </row>
    <row r="66" spans="2:5" ht="60" customHeight="1">
      <c r="B66" s="553" t="s">
        <v>1904</v>
      </c>
      <c r="C66" s="467"/>
      <c r="E66" s="551"/>
    </row>
    <row r="67" spans="2:5" outlineLevel="1">
      <c r="B67" s="563" t="s">
        <v>2007</v>
      </c>
      <c r="C67" s="532">
        <v>27469</v>
      </c>
      <c r="E67" s="551"/>
    </row>
    <row r="68" spans="2:5" outlineLevel="1">
      <c r="B68" s="563" t="s">
        <v>2008</v>
      </c>
      <c r="C68" s="532">
        <v>37012</v>
      </c>
      <c r="E68" s="551"/>
    </row>
    <row r="69" spans="2:5" outlineLevel="1">
      <c r="B69" s="563" t="s">
        <v>2009</v>
      </c>
      <c r="C69" s="532">
        <v>47005</v>
      </c>
      <c r="E69" s="551"/>
    </row>
    <row r="70" spans="2:5" outlineLevel="1">
      <c r="B70" s="563" t="s">
        <v>2010</v>
      </c>
      <c r="C70" s="532">
        <v>61158</v>
      </c>
      <c r="E70" s="551"/>
    </row>
    <row r="71" spans="2:5" outlineLevel="1">
      <c r="B71" s="563" t="s">
        <v>2011</v>
      </c>
      <c r="C71" s="532">
        <v>79512</v>
      </c>
      <c r="E71" s="551"/>
    </row>
    <row r="72" spans="2:5" ht="60" customHeight="1">
      <c r="B72" s="553" t="s">
        <v>1905</v>
      </c>
      <c r="C72" s="467"/>
      <c r="E72" s="551"/>
    </row>
    <row r="73" spans="2:5" outlineLevel="1">
      <c r="B73" s="563" t="s">
        <v>2012</v>
      </c>
      <c r="C73" s="532">
        <v>28528</v>
      </c>
      <c r="E73" s="551"/>
    </row>
    <row r="74" spans="2:5" outlineLevel="1">
      <c r="B74" s="563" t="s">
        <v>2013</v>
      </c>
      <c r="C74" s="532">
        <v>38891</v>
      </c>
      <c r="E74" s="551"/>
    </row>
    <row r="75" spans="2:5" outlineLevel="1">
      <c r="B75" s="563" t="s">
        <v>2014</v>
      </c>
      <c r="C75" s="532">
        <v>49891</v>
      </c>
      <c r="E75" s="551"/>
    </row>
    <row r="76" spans="2:5" outlineLevel="1">
      <c r="B76" s="563" t="s">
        <v>2015</v>
      </c>
      <c r="C76" s="532">
        <v>65910</v>
      </c>
      <c r="E76" s="551"/>
    </row>
    <row r="77" spans="2:5" outlineLevel="1">
      <c r="B77" s="563" t="s">
        <v>2016</v>
      </c>
      <c r="C77" s="532">
        <v>86697</v>
      </c>
      <c r="E77" s="551"/>
    </row>
    <row r="78" spans="2:5" ht="60" customHeight="1">
      <c r="B78" s="553" t="s">
        <v>1906</v>
      </c>
      <c r="C78" s="467"/>
      <c r="E78" s="551"/>
    </row>
    <row r="79" spans="2:5" outlineLevel="1">
      <c r="B79" s="563" t="s">
        <v>2017</v>
      </c>
      <c r="C79" s="532">
        <v>32671</v>
      </c>
      <c r="E79" s="551"/>
    </row>
    <row r="80" spans="2:5" outlineLevel="1">
      <c r="B80" s="563" t="s">
        <v>2018</v>
      </c>
      <c r="C80" s="532">
        <v>45567</v>
      </c>
      <c r="E80" s="551"/>
    </row>
    <row r="81" spans="2:5" outlineLevel="1">
      <c r="B81" s="563" t="s">
        <v>2019</v>
      </c>
      <c r="C81" s="532">
        <v>58649</v>
      </c>
      <c r="E81" s="551"/>
    </row>
    <row r="82" spans="2:5" outlineLevel="1">
      <c r="B82" s="563" t="s">
        <v>2020</v>
      </c>
      <c r="C82" s="532">
        <v>78620</v>
      </c>
      <c r="E82" s="551"/>
    </row>
    <row r="83" spans="2:5" outlineLevel="1">
      <c r="B83" s="563" t="s">
        <v>2021</v>
      </c>
      <c r="C83" s="532">
        <v>104643</v>
      </c>
      <c r="E83" s="551"/>
    </row>
    <row r="84" spans="2:5" ht="60" customHeight="1">
      <c r="B84" s="553" t="s">
        <v>1907</v>
      </c>
      <c r="C84" s="467"/>
      <c r="E84" s="551"/>
    </row>
    <row r="85" spans="2:5" outlineLevel="1">
      <c r="B85" s="563" t="s">
        <v>2022</v>
      </c>
      <c r="C85" s="532">
        <v>39884</v>
      </c>
      <c r="E85" s="551"/>
    </row>
    <row r="86" spans="2:5" outlineLevel="1">
      <c r="B86" s="563" t="s">
        <v>2023</v>
      </c>
      <c r="C86" s="532">
        <v>50627</v>
      </c>
      <c r="E86" s="551"/>
    </row>
    <row r="87" spans="2:5" outlineLevel="1">
      <c r="B87" s="563" t="s">
        <v>2024</v>
      </c>
      <c r="C87" s="532">
        <v>66642</v>
      </c>
      <c r="E87" s="551"/>
    </row>
    <row r="88" spans="2:5" outlineLevel="1">
      <c r="B88" s="563" t="s">
        <v>2025</v>
      </c>
      <c r="C88" s="532">
        <v>86539</v>
      </c>
      <c r="E88" s="551"/>
    </row>
    <row r="89" spans="2:5" outlineLevel="1">
      <c r="B89" s="563" t="s">
        <v>2026</v>
      </c>
      <c r="C89" s="532">
        <v>114417</v>
      </c>
      <c r="E89" s="551"/>
    </row>
    <row r="90" spans="2:5" ht="60" customHeight="1">
      <c r="B90" s="553" t="s">
        <v>1908</v>
      </c>
      <c r="C90" s="467"/>
      <c r="E90" s="551"/>
    </row>
    <row r="91" spans="2:5" outlineLevel="1">
      <c r="B91" s="563" t="s">
        <v>2027</v>
      </c>
      <c r="C91" s="532">
        <v>41889</v>
      </c>
      <c r="E91" s="551"/>
    </row>
    <row r="92" spans="2:5" outlineLevel="1">
      <c r="B92" s="563" t="s">
        <v>2028</v>
      </c>
      <c r="C92" s="532">
        <v>53666</v>
      </c>
      <c r="E92" s="551"/>
    </row>
    <row r="93" spans="2:5" outlineLevel="1">
      <c r="B93" s="563" t="s">
        <v>2029</v>
      </c>
      <c r="C93" s="532">
        <v>76722</v>
      </c>
      <c r="E93" s="551"/>
    </row>
    <row r="94" spans="2:5" outlineLevel="1">
      <c r="B94" s="563" t="s">
        <v>2030</v>
      </c>
      <c r="C94" s="532">
        <v>108218</v>
      </c>
      <c r="E94" s="551"/>
    </row>
    <row r="95" spans="2:5" outlineLevel="1">
      <c r="B95" s="563" t="s">
        <v>2031</v>
      </c>
      <c r="C95" s="532">
        <v>137690</v>
      </c>
      <c r="E95" s="551"/>
    </row>
    <row r="96" spans="2:5" ht="60" customHeight="1">
      <c r="B96" s="553" t="s">
        <v>1909</v>
      </c>
      <c r="C96" s="467"/>
      <c r="E96" s="551"/>
    </row>
    <row r="97" spans="2:5" outlineLevel="1">
      <c r="B97" s="563" t="s">
        <v>2032</v>
      </c>
      <c r="C97" s="532">
        <v>46063</v>
      </c>
      <c r="E97" s="551"/>
    </row>
    <row r="98" spans="2:5" outlineLevel="1">
      <c r="B98" s="563" t="s">
        <v>2033</v>
      </c>
      <c r="C98" s="532">
        <v>59834</v>
      </c>
      <c r="E98" s="551"/>
    </row>
    <row r="99" spans="2:5" outlineLevel="1">
      <c r="B99" s="563" t="s">
        <v>2034</v>
      </c>
      <c r="C99" s="532">
        <v>75565</v>
      </c>
      <c r="E99" s="551"/>
    </row>
    <row r="100" spans="2:5" outlineLevel="1">
      <c r="B100" s="563" t="s">
        <v>2035</v>
      </c>
      <c r="C100" s="532">
        <v>104746</v>
      </c>
      <c r="E100" s="551"/>
    </row>
    <row r="101" spans="2:5" outlineLevel="1">
      <c r="B101" s="563" t="s">
        <v>2036</v>
      </c>
      <c r="C101" s="532">
        <v>143441</v>
      </c>
      <c r="E101" s="551"/>
    </row>
    <row r="102" spans="2:5" ht="60" customHeight="1">
      <c r="B102" s="553" t="s">
        <v>1910</v>
      </c>
      <c r="C102" s="467"/>
      <c r="E102" s="551"/>
    </row>
    <row r="103" spans="2:5" outlineLevel="1">
      <c r="B103" s="563" t="s">
        <v>2037</v>
      </c>
      <c r="C103" s="532">
        <v>41066</v>
      </c>
      <c r="E103" s="551"/>
    </row>
    <row r="104" spans="2:5" outlineLevel="1">
      <c r="B104" s="563" t="s">
        <v>2038</v>
      </c>
      <c r="C104" s="532">
        <v>54057</v>
      </c>
      <c r="E104" s="551"/>
    </row>
    <row r="105" spans="2:5" outlineLevel="1">
      <c r="B105" s="563" t="s">
        <v>2039</v>
      </c>
      <c r="C105" s="532">
        <v>68791</v>
      </c>
      <c r="E105" s="551"/>
    </row>
    <row r="106" spans="2:5" outlineLevel="1">
      <c r="B106" s="563" t="s">
        <v>2040</v>
      </c>
      <c r="C106" s="532">
        <v>91167</v>
      </c>
      <c r="E106" s="551"/>
    </row>
    <row r="107" spans="2:5" outlineLevel="1">
      <c r="B107" s="563" t="s">
        <v>2041</v>
      </c>
      <c r="C107" s="532">
        <v>122867</v>
      </c>
      <c r="E107" s="551"/>
    </row>
    <row r="108" spans="2:5" ht="60" customHeight="1">
      <c r="B108" s="553" t="s">
        <v>1911</v>
      </c>
      <c r="C108" s="467"/>
      <c r="E108" s="551"/>
    </row>
    <row r="109" spans="2:5" outlineLevel="1">
      <c r="B109" s="564" t="s">
        <v>2042</v>
      </c>
      <c r="C109" s="532">
        <v>43072</v>
      </c>
      <c r="E109" s="551"/>
    </row>
    <row r="110" spans="2:5" outlineLevel="1">
      <c r="B110" s="564" t="s">
        <v>2043</v>
      </c>
      <c r="C110" s="532">
        <v>55937</v>
      </c>
      <c r="E110" s="551"/>
    </row>
    <row r="111" spans="2:5" outlineLevel="1">
      <c r="B111" s="564" t="s">
        <v>2044</v>
      </c>
      <c r="C111" s="532">
        <v>80548</v>
      </c>
      <c r="E111" s="551"/>
    </row>
    <row r="112" spans="2:5" outlineLevel="1">
      <c r="B112" s="564" t="s">
        <v>2045</v>
      </c>
      <c r="C112" s="532">
        <v>113617</v>
      </c>
      <c r="E112" s="551"/>
    </row>
    <row r="113" spans="2:5" outlineLevel="1">
      <c r="B113" s="564" t="s">
        <v>2046</v>
      </c>
      <c r="C113" s="532">
        <v>144662</v>
      </c>
      <c r="E113" s="551"/>
    </row>
    <row r="114" spans="2:5" ht="60" customHeight="1">
      <c r="B114" s="553" t="s">
        <v>1912</v>
      </c>
      <c r="C114" s="467"/>
      <c r="E114" s="551"/>
    </row>
    <row r="115" spans="2:5" outlineLevel="1">
      <c r="B115" s="564" t="s">
        <v>2047</v>
      </c>
      <c r="C115" s="532">
        <v>47247</v>
      </c>
      <c r="E115" s="551"/>
    </row>
    <row r="116" spans="2:5" outlineLevel="1">
      <c r="B116" s="564" t="s">
        <v>2048</v>
      </c>
      <c r="C116" s="532">
        <v>62610</v>
      </c>
      <c r="E116" s="551"/>
    </row>
    <row r="117" spans="2:5" outlineLevel="1">
      <c r="B117" s="564" t="s">
        <v>2049</v>
      </c>
      <c r="C117" s="532">
        <v>80847</v>
      </c>
      <c r="E117" s="551"/>
    </row>
    <row r="118" spans="2:5" outlineLevel="1">
      <c r="B118" s="564" t="s">
        <v>2050</v>
      </c>
      <c r="C118" s="532">
        <v>108627</v>
      </c>
      <c r="E118" s="551"/>
    </row>
    <row r="119" spans="2:5" outlineLevel="1">
      <c r="B119" s="564" t="s">
        <v>2051</v>
      </c>
      <c r="C119" s="532">
        <v>147178</v>
      </c>
      <c r="E119" s="551"/>
    </row>
  </sheetData>
  <sheetProtection selectLockedCells="1" selectUnlockedCells="1"/>
  <customSheetViews>
    <customSheetView guid="{0C99ABE2-728B-4C30-A993-CD651C64FAAE}" showGridLines="0" printArea="1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2BA56ECA-30F6-456D-AB26-04DD1698A098}" showGridLines="0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hyperlinks>
    <hyperlink ref="B11:B16" r:id="rId3" display="Хомут быстросъемный LV-MDC 100 E16"/>
    <hyperlink ref="B18:B26" r:id="rId4" display="Гибкая вставка LV-WDTA 1000x500 E16"/>
    <hyperlink ref="B28:B47" r:id="rId5" display="Гибкая вставка LV-WDQA 250 E16 (вход воздуха)"/>
    <hyperlink ref="B49:B53" r:id="rId6" display="Короб крышный LV-ZRn 250/280/311-2 E16"/>
    <hyperlink ref="B55:B59" r:id="rId7" display="Короб крышный LV-ZRn 250/280/311-T-2 E16"/>
    <hyperlink ref="B61:B65" r:id="rId8" display="Короб крышный LV-ZRn 250/280/311-M-2 E16"/>
    <hyperlink ref="B67:B71" r:id="rId9" display="Короб крышный LV-ZRn 250/280/311-4 E16"/>
    <hyperlink ref="B73:B77" r:id="rId10" display="Короб крышный LV-ZRn 250/280/311-T-4 E16"/>
    <hyperlink ref="B79:B83" r:id="rId11" display="Короб крышный LV-ZRn 250/280/311-M-4 E16"/>
    <hyperlink ref="B85:B89" r:id="rId12" display="Короб крышный LV-ZRSn 250/280/311-2 E16"/>
    <hyperlink ref="B91:B95" r:id="rId13" display="Короб крышный LV-ZRSn 250/280/311-T-2 E16"/>
    <hyperlink ref="B97:B101" r:id="rId14" display="Короб крышный LV-ZRSn 250/280/311-M-2 E16"/>
    <hyperlink ref="B103:B107" r:id="rId15" display="Короб крышный LV-ZRSn 250/280/311-4 E16"/>
    <hyperlink ref="B109:B113" r:id="rId16" display="Короб крышный LV-ZRSn 250/280/311-T-4 E16"/>
    <hyperlink ref="B115:B119" r:id="rId17" display="Короб крышный LV-ZRSn 250/280/311-M-4 E16"/>
  </hyperlink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18"/>
  <drawing r:id="rId19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outlinePr summaryBelow="0" summaryRight="0"/>
  </sheetPr>
  <dimension ref="B7:E156"/>
  <sheetViews>
    <sheetView showGridLines="0" zoomScaleNormal="100" zoomScaleSheetLayoutView="100" zoomScalePageLayoutView="55" workbookViewId="0">
      <selection activeCell="E154" sqref="E154"/>
    </sheetView>
  </sheetViews>
  <sheetFormatPr defaultColWidth="9.109375" defaultRowHeight="14.4" outlineLevelRow="1"/>
  <cols>
    <col min="1" max="1" width="2.88671875" style="3" customWidth="1"/>
    <col min="2" max="2" width="59.6640625" style="3" customWidth="1"/>
    <col min="3" max="3" width="17.6640625" style="3" customWidth="1"/>
    <col min="4" max="4" width="9.109375" style="3"/>
    <col min="5" max="5" width="27.5546875" style="3" bestFit="1" customWidth="1"/>
    <col min="6" max="16384" width="9.109375" style="3"/>
  </cols>
  <sheetData>
    <row r="7" spans="2:5" ht="18" customHeight="1">
      <c r="B7" s="530" t="s">
        <v>548</v>
      </c>
      <c r="C7" s="555"/>
    </row>
    <row r="8" spans="2:5" s="385" customFormat="1" ht="15" customHeight="1">
      <c r="B8" s="470"/>
      <c r="C8" s="386"/>
    </row>
    <row r="9" spans="2:5" ht="30" customHeight="1">
      <c r="B9" s="540" t="s">
        <v>166</v>
      </c>
      <c r="C9" s="546" t="s">
        <v>2249</v>
      </c>
    </row>
    <row r="10" spans="2:5" ht="60" customHeight="1">
      <c r="B10" s="468" t="s">
        <v>549</v>
      </c>
      <c r="C10" s="467"/>
      <c r="E10" s="551"/>
    </row>
    <row r="11" spans="2:5" s="2" customFormat="1" outlineLevel="1">
      <c r="B11" s="560" t="s">
        <v>948</v>
      </c>
      <c r="C11" s="532">
        <v>5623</v>
      </c>
      <c r="E11" s="551"/>
    </row>
    <row r="12" spans="2:5" s="2" customFormat="1" outlineLevel="1">
      <c r="B12" s="560" t="s">
        <v>949</v>
      </c>
      <c r="C12" s="532">
        <v>9410</v>
      </c>
      <c r="E12" s="551"/>
    </row>
    <row r="13" spans="2:5" s="2" customFormat="1" outlineLevel="1">
      <c r="B13" s="560" t="s">
        <v>950</v>
      </c>
      <c r="C13" s="532">
        <v>5756</v>
      </c>
      <c r="E13" s="551"/>
    </row>
    <row r="14" spans="2:5" s="2" customFormat="1" outlineLevel="1">
      <c r="B14" s="560" t="s">
        <v>951</v>
      </c>
      <c r="C14" s="532">
        <v>6268</v>
      </c>
      <c r="E14" s="551"/>
    </row>
    <row r="15" spans="2:5" s="2" customFormat="1" outlineLevel="1">
      <c r="B15" s="560" t="s">
        <v>952</v>
      </c>
      <c r="C15" s="532">
        <v>8434</v>
      </c>
      <c r="E15" s="551"/>
    </row>
    <row r="16" spans="2:5" s="2" customFormat="1" outlineLevel="1">
      <c r="B16" s="560" t="s">
        <v>953</v>
      </c>
      <c r="C16" s="532">
        <v>6492</v>
      </c>
      <c r="E16" s="551"/>
    </row>
    <row r="17" spans="2:5" s="2" customFormat="1" outlineLevel="1">
      <c r="B17" s="560" t="s">
        <v>954</v>
      </c>
      <c r="C17" s="532">
        <v>6572</v>
      </c>
      <c r="E17" s="551"/>
    </row>
    <row r="18" spans="2:5" s="2" customFormat="1" outlineLevel="1">
      <c r="B18" s="560" t="s">
        <v>955</v>
      </c>
      <c r="C18" s="532">
        <v>15235</v>
      </c>
      <c r="E18" s="551"/>
    </row>
    <row r="19" spans="2:5" s="225" customFormat="1" outlineLevel="1">
      <c r="B19" s="560" t="s">
        <v>960</v>
      </c>
      <c r="C19" s="532">
        <v>26833</v>
      </c>
      <c r="E19" s="551"/>
    </row>
    <row r="20" spans="2:5" s="225" customFormat="1" outlineLevel="1">
      <c r="B20" s="560" t="s">
        <v>957</v>
      </c>
      <c r="C20" s="532">
        <v>9209</v>
      </c>
      <c r="E20" s="551"/>
    </row>
    <row r="21" spans="2:5" s="2" customFormat="1" outlineLevel="1">
      <c r="B21" s="560" t="s">
        <v>958</v>
      </c>
      <c r="C21" s="532">
        <v>15772</v>
      </c>
      <c r="E21" s="551"/>
    </row>
    <row r="22" spans="2:5" s="2" customFormat="1" outlineLevel="1">
      <c r="B22" s="560" t="s">
        <v>959</v>
      </c>
      <c r="C22" s="532">
        <v>18205</v>
      </c>
      <c r="E22" s="551"/>
    </row>
    <row r="23" spans="2:5" s="2" customFormat="1" outlineLevel="1">
      <c r="B23" s="560" t="s">
        <v>964</v>
      </c>
      <c r="C23" s="532">
        <v>26488</v>
      </c>
      <c r="E23" s="551"/>
    </row>
    <row r="24" spans="2:5" s="2" customFormat="1" outlineLevel="1">
      <c r="B24" s="560" t="s">
        <v>965</v>
      </c>
      <c r="C24" s="532">
        <v>26488</v>
      </c>
      <c r="E24" s="551"/>
    </row>
    <row r="25" spans="2:5" s="2" customFormat="1" outlineLevel="1">
      <c r="B25" s="560" t="s">
        <v>962</v>
      </c>
      <c r="C25" s="532">
        <v>15713</v>
      </c>
      <c r="E25" s="551"/>
    </row>
    <row r="26" spans="2:5" s="2" customFormat="1" outlineLevel="1">
      <c r="B26" s="560" t="s">
        <v>963</v>
      </c>
      <c r="C26" s="532">
        <v>16065</v>
      </c>
      <c r="E26" s="551"/>
    </row>
    <row r="27" spans="2:5" s="2" customFormat="1" outlineLevel="1">
      <c r="B27" s="560" t="s">
        <v>969</v>
      </c>
      <c r="C27" s="532">
        <v>27279</v>
      </c>
      <c r="E27" s="551"/>
    </row>
    <row r="28" spans="2:5" s="2" customFormat="1" outlineLevel="1">
      <c r="B28" s="560" t="s">
        <v>970</v>
      </c>
      <c r="C28" s="532">
        <v>27279</v>
      </c>
      <c r="E28" s="551"/>
    </row>
    <row r="29" spans="2:5" s="2" customFormat="1" outlineLevel="1">
      <c r="B29" s="560" t="s">
        <v>971</v>
      </c>
      <c r="C29" s="532">
        <v>27979</v>
      </c>
      <c r="E29" s="551"/>
    </row>
    <row r="30" spans="2:5" s="2" customFormat="1" outlineLevel="1">
      <c r="B30" s="560" t="s">
        <v>967</v>
      </c>
      <c r="C30" s="532">
        <v>16389</v>
      </c>
      <c r="E30" s="551"/>
    </row>
    <row r="31" spans="2:5" s="2" customFormat="1" outlineLevel="1">
      <c r="B31" s="560" t="s">
        <v>968</v>
      </c>
      <c r="C31" s="532">
        <v>16636</v>
      </c>
      <c r="E31" s="551"/>
    </row>
    <row r="32" spans="2:5" s="549" customFormat="1" ht="36.75" customHeight="1">
      <c r="B32" s="550" t="s">
        <v>2087</v>
      </c>
      <c r="C32" s="554"/>
      <c r="E32" s="551"/>
    </row>
    <row r="33" spans="2:5" s="549" customFormat="1">
      <c r="B33" s="565" t="s">
        <v>956</v>
      </c>
      <c r="C33" s="532">
        <v>13803</v>
      </c>
      <c r="E33" s="551"/>
    </row>
    <row r="34" spans="2:5" s="549" customFormat="1">
      <c r="B34" s="565" t="s">
        <v>961</v>
      </c>
      <c r="C34" s="532">
        <v>13913</v>
      </c>
      <c r="E34" s="551"/>
    </row>
    <row r="35" spans="2:5" s="549" customFormat="1">
      <c r="B35" s="565" t="s">
        <v>966</v>
      </c>
      <c r="C35" s="532">
        <v>21887</v>
      </c>
      <c r="E35" s="551"/>
    </row>
    <row r="36" spans="2:5" s="549" customFormat="1">
      <c r="B36" s="565" t="s">
        <v>972</v>
      </c>
      <c r="C36" s="532">
        <v>22045</v>
      </c>
      <c r="E36" s="551"/>
    </row>
    <row r="37" spans="2:5" ht="60" customHeight="1">
      <c r="B37" s="468" t="s">
        <v>550</v>
      </c>
      <c r="C37" s="467"/>
      <c r="E37" s="551"/>
    </row>
    <row r="38" spans="2:5" s="549" customFormat="1" outlineLevel="1">
      <c r="B38" s="563" t="s">
        <v>2088</v>
      </c>
      <c r="C38" s="532">
        <v>10725</v>
      </c>
      <c r="E38" s="551"/>
    </row>
    <row r="39" spans="2:5" s="549" customFormat="1" outlineLevel="1">
      <c r="B39" s="563" t="s">
        <v>2089</v>
      </c>
      <c r="C39" s="532">
        <v>14448</v>
      </c>
      <c r="E39" s="551"/>
    </row>
    <row r="40" spans="2:5" s="2" customFormat="1" outlineLevel="1">
      <c r="B40" s="560" t="s">
        <v>2090</v>
      </c>
      <c r="C40" s="532">
        <v>15733</v>
      </c>
      <c r="E40" s="551"/>
    </row>
    <row r="41" spans="2:5" s="2" customFormat="1" outlineLevel="1">
      <c r="B41" s="563" t="s">
        <v>2091</v>
      </c>
      <c r="C41" s="532">
        <v>18164</v>
      </c>
      <c r="E41" s="551"/>
    </row>
    <row r="42" spans="2:5" s="549" customFormat="1" outlineLevel="1">
      <c r="B42" s="563" t="s">
        <v>2092</v>
      </c>
      <c r="C42" s="532">
        <v>19225</v>
      </c>
      <c r="E42" s="551"/>
    </row>
    <row r="43" spans="2:5" s="2" customFormat="1" outlineLevel="1">
      <c r="B43" s="560" t="s">
        <v>2093</v>
      </c>
      <c r="C43" s="532">
        <v>23652</v>
      </c>
      <c r="E43" s="551"/>
    </row>
    <row r="44" spans="2:5" s="2" customFormat="1" outlineLevel="1">
      <c r="B44" s="563" t="s">
        <v>2094</v>
      </c>
      <c r="C44" s="532">
        <v>32982</v>
      </c>
      <c r="E44" s="551"/>
    </row>
    <row r="45" spans="2:5" s="549" customFormat="1" outlineLevel="1">
      <c r="B45" s="563" t="s">
        <v>2095</v>
      </c>
      <c r="C45" s="532">
        <v>35253</v>
      </c>
      <c r="E45" s="551"/>
    </row>
    <row r="46" spans="2:5" s="549" customFormat="1" outlineLevel="1">
      <c r="B46" s="563" t="s">
        <v>2096</v>
      </c>
      <c r="C46" s="532">
        <v>40083</v>
      </c>
      <c r="E46" s="551"/>
    </row>
    <row r="47" spans="2:5" s="549" customFormat="1" outlineLevel="1">
      <c r="B47" s="563" t="s">
        <v>2097</v>
      </c>
      <c r="C47" s="532">
        <v>66518</v>
      </c>
      <c r="E47" s="551"/>
    </row>
    <row r="48" spans="2:5" s="549" customFormat="1" outlineLevel="1">
      <c r="B48" s="563" t="s">
        <v>2098</v>
      </c>
      <c r="C48" s="532">
        <v>15770</v>
      </c>
      <c r="E48" s="551"/>
    </row>
    <row r="49" spans="2:5" s="549" customFormat="1" outlineLevel="1">
      <c r="B49" s="563" t="s">
        <v>2099</v>
      </c>
      <c r="C49" s="532">
        <v>20453</v>
      </c>
      <c r="E49" s="551"/>
    </row>
    <row r="50" spans="2:5" s="549" customFormat="1" outlineLevel="1">
      <c r="B50" s="563" t="s">
        <v>2100</v>
      </c>
      <c r="C50" s="532">
        <v>25141</v>
      </c>
      <c r="E50" s="551"/>
    </row>
    <row r="51" spans="2:5" s="549" customFormat="1" outlineLevel="1">
      <c r="B51" s="563" t="s">
        <v>2101</v>
      </c>
      <c r="C51" s="532">
        <v>23268</v>
      </c>
      <c r="E51" s="551"/>
    </row>
    <row r="52" spans="2:5" s="549" customFormat="1" outlineLevel="1">
      <c r="B52" s="563" t="s">
        <v>2102</v>
      </c>
      <c r="C52" s="532">
        <v>32587</v>
      </c>
      <c r="E52" s="551"/>
    </row>
    <row r="53" spans="2:5" s="549" customFormat="1" outlineLevel="1">
      <c r="B53" s="563" t="s">
        <v>2103</v>
      </c>
      <c r="C53" s="532">
        <v>39019</v>
      </c>
      <c r="E53" s="551"/>
    </row>
    <row r="54" spans="2:5" s="549" customFormat="1" outlineLevel="1">
      <c r="B54" s="563" t="s">
        <v>2104</v>
      </c>
      <c r="C54" s="532">
        <v>54986</v>
      </c>
      <c r="E54" s="551"/>
    </row>
    <row r="55" spans="2:5" s="549" customFormat="1" outlineLevel="1">
      <c r="B55" s="563" t="s">
        <v>2105</v>
      </c>
      <c r="C55" s="532">
        <v>60053</v>
      </c>
      <c r="E55" s="551"/>
    </row>
    <row r="56" spans="2:5" s="549" customFormat="1" outlineLevel="1">
      <c r="B56" s="563" t="s">
        <v>1026</v>
      </c>
      <c r="C56" s="532">
        <v>66518</v>
      </c>
      <c r="E56" s="551"/>
    </row>
    <row r="57" spans="2:5" s="549" customFormat="1" outlineLevel="1">
      <c r="B57" s="563" t="s">
        <v>978</v>
      </c>
      <c r="C57" s="532">
        <v>15827</v>
      </c>
      <c r="E57" s="551"/>
    </row>
    <row r="58" spans="2:5" s="549" customFormat="1" outlineLevel="1">
      <c r="B58" s="563" t="s">
        <v>984</v>
      </c>
      <c r="C58" s="532">
        <v>22079</v>
      </c>
      <c r="E58" s="551"/>
    </row>
    <row r="59" spans="2:5" s="549" customFormat="1" outlineLevel="1">
      <c r="B59" s="563" t="s">
        <v>990</v>
      </c>
      <c r="C59" s="532">
        <v>23344</v>
      </c>
      <c r="E59" s="551"/>
    </row>
    <row r="60" spans="2:5" s="549" customFormat="1" outlineLevel="1">
      <c r="B60" s="563" t="s">
        <v>996</v>
      </c>
      <c r="C60" s="532">
        <v>28985</v>
      </c>
      <c r="E60" s="551"/>
    </row>
    <row r="61" spans="2:5" s="549" customFormat="1" outlineLevel="1">
      <c r="B61" s="563" t="s">
        <v>1002</v>
      </c>
      <c r="C61" s="532">
        <v>32900</v>
      </c>
      <c r="E61" s="551"/>
    </row>
    <row r="62" spans="2:5" s="549" customFormat="1" outlineLevel="1">
      <c r="B62" s="563" t="s">
        <v>1008</v>
      </c>
      <c r="C62" s="532">
        <v>39415</v>
      </c>
      <c r="E62" s="551"/>
    </row>
    <row r="63" spans="2:5" s="549" customFormat="1" outlineLevel="1">
      <c r="B63" s="563" t="s">
        <v>1014</v>
      </c>
      <c r="C63" s="532">
        <v>55580</v>
      </c>
      <c r="E63" s="551"/>
    </row>
    <row r="64" spans="2:5" s="549" customFormat="1" outlineLevel="1">
      <c r="B64" s="563" t="s">
        <v>1020</v>
      </c>
      <c r="C64" s="532">
        <v>61050</v>
      </c>
      <c r="E64" s="551"/>
    </row>
    <row r="65" spans="2:5" s="549" customFormat="1" outlineLevel="1">
      <c r="B65" s="563" t="s">
        <v>979</v>
      </c>
      <c r="C65" s="532">
        <v>18724</v>
      </c>
      <c r="E65" s="551"/>
    </row>
    <row r="66" spans="2:5" s="2" customFormat="1" outlineLevel="1">
      <c r="B66" s="560" t="s">
        <v>985</v>
      </c>
      <c r="C66" s="532">
        <v>28235</v>
      </c>
      <c r="E66" s="551"/>
    </row>
    <row r="67" spans="2:5" s="2" customFormat="1" outlineLevel="1">
      <c r="B67" s="563" t="s">
        <v>991</v>
      </c>
      <c r="C67" s="532">
        <v>32900</v>
      </c>
      <c r="E67" s="551"/>
    </row>
    <row r="68" spans="2:5" s="549" customFormat="1" outlineLevel="1">
      <c r="B68" s="563" t="s">
        <v>997</v>
      </c>
      <c r="C68" s="532">
        <v>38160</v>
      </c>
      <c r="E68" s="551"/>
    </row>
    <row r="69" spans="2:5" s="2" customFormat="1" outlineLevel="1">
      <c r="B69" s="560" t="s">
        <v>1003</v>
      </c>
      <c r="C69" s="532">
        <v>44423</v>
      </c>
      <c r="E69" s="551"/>
    </row>
    <row r="70" spans="2:5" s="2" customFormat="1" outlineLevel="1">
      <c r="B70" s="563" t="s">
        <v>1009</v>
      </c>
      <c r="C70" s="532">
        <v>55528</v>
      </c>
      <c r="E70" s="551"/>
    </row>
    <row r="71" spans="2:5" s="549" customFormat="1" outlineLevel="1">
      <c r="B71" s="563" t="s">
        <v>1015</v>
      </c>
      <c r="C71" s="532">
        <v>72423</v>
      </c>
      <c r="E71" s="551"/>
    </row>
    <row r="72" spans="2:5" s="2" customFormat="1" outlineLevel="1">
      <c r="B72" s="560" t="s">
        <v>1021</v>
      </c>
      <c r="C72" s="532">
        <v>84611</v>
      </c>
      <c r="E72" s="551"/>
    </row>
    <row r="73" spans="2:5" s="2" customFormat="1" outlineLevel="1">
      <c r="B73" s="563" t="s">
        <v>1027</v>
      </c>
      <c r="C73" s="532">
        <v>91760</v>
      </c>
      <c r="E73" s="551"/>
    </row>
    <row r="74" spans="2:5" s="549" customFormat="1" outlineLevel="1">
      <c r="B74" s="563" t="s">
        <v>2106</v>
      </c>
      <c r="C74" s="532">
        <v>25079</v>
      </c>
      <c r="E74" s="551"/>
    </row>
    <row r="75" spans="2:5" s="2" customFormat="1" outlineLevel="1">
      <c r="B75" s="560" t="s">
        <v>2107</v>
      </c>
      <c r="C75" s="532">
        <v>34558</v>
      </c>
      <c r="E75" s="551"/>
    </row>
    <row r="76" spans="2:5" s="2" customFormat="1" outlineLevel="1">
      <c r="B76" s="563" t="s">
        <v>2108</v>
      </c>
      <c r="C76" s="532">
        <v>39904</v>
      </c>
      <c r="E76" s="551"/>
    </row>
    <row r="77" spans="2:5" s="549" customFormat="1" outlineLevel="1">
      <c r="B77" s="563" t="s">
        <v>2109</v>
      </c>
      <c r="C77" s="532">
        <v>48251</v>
      </c>
      <c r="E77" s="551"/>
    </row>
    <row r="78" spans="2:5" s="2" customFormat="1" outlineLevel="1">
      <c r="B78" s="560" t="s">
        <v>2110</v>
      </c>
      <c r="C78" s="532">
        <v>55150</v>
      </c>
      <c r="E78" s="551"/>
    </row>
    <row r="79" spans="2:5" s="2" customFormat="1" outlineLevel="1">
      <c r="B79" s="563" t="s">
        <v>2111</v>
      </c>
      <c r="C79" s="532">
        <v>69528</v>
      </c>
      <c r="E79" s="551"/>
    </row>
    <row r="80" spans="2:5" s="549" customFormat="1" outlineLevel="1">
      <c r="B80" s="563" t="s">
        <v>2112</v>
      </c>
      <c r="C80" s="532">
        <v>95675</v>
      </c>
      <c r="E80" s="551"/>
    </row>
    <row r="81" spans="2:5" s="2" customFormat="1" outlineLevel="1">
      <c r="B81" s="560" t="s">
        <v>2113</v>
      </c>
      <c r="C81" s="532">
        <v>108746</v>
      </c>
      <c r="E81" s="551"/>
    </row>
    <row r="82" spans="2:5" s="2" customFormat="1" outlineLevel="1">
      <c r="B82" s="563" t="s">
        <v>2114</v>
      </c>
      <c r="C82" s="532">
        <v>116043</v>
      </c>
      <c r="E82" s="551"/>
    </row>
    <row r="83" spans="2:5" ht="60" customHeight="1">
      <c r="B83" s="468" t="s">
        <v>551</v>
      </c>
      <c r="C83" s="467"/>
      <c r="E83" s="551"/>
    </row>
    <row r="84" spans="2:5" s="225" customFormat="1" ht="15" customHeight="1" outlineLevel="1">
      <c r="B84" s="560" t="s">
        <v>976</v>
      </c>
      <c r="C84" s="532">
        <v>27176</v>
      </c>
      <c r="E84" s="551"/>
    </row>
    <row r="85" spans="2:5" s="225" customFormat="1" outlineLevel="1">
      <c r="B85" s="560" t="s">
        <v>977</v>
      </c>
      <c r="C85" s="532">
        <v>37844</v>
      </c>
      <c r="E85" s="551"/>
    </row>
    <row r="86" spans="2:5" s="2" customFormat="1" outlineLevel="1">
      <c r="B86" s="560" t="s">
        <v>973</v>
      </c>
      <c r="C86" s="532">
        <v>16117</v>
      </c>
      <c r="E86" s="551"/>
    </row>
    <row r="87" spans="2:5" s="2" customFormat="1" outlineLevel="1">
      <c r="B87" s="560" t="s">
        <v>974</v>
      </c>
      <c r="C87" s="532">
        <v>14729</v>
      </c>
      <c r="E87" s="551"/>
    </row>
    <row r="88" spans="2:5" s="2" customFormat="1" outlineLevel="1">
      <c r="B88" s="560" t="s">
        <v>975</v>
      </c>
      <c r="C88" s="532">
        <v>16392</v>
      </c>
      <c r="E88" s="551"/>
    </row>
    <row r="89" spans="2:5" s="2" customFormat="1" outlineLevel="1">
      <c r="B89" s="560" t="s">
        <v>981</v>
      </c>
      <c r="C89" s="532">
        <v>27265</v>
      </c>
      <c r="E89" s="551"/>
    </row>
    <row r="90" spans="2:5" s="2" customFormat="1" outlineLevel="1">
      <c r="B90" s="560" t="s">
        <v>982</v>
      </c>
      <c r="C90" s="532">
        <v>37910</v>
      </c>
      <c r="E90" s="551"/>
    </row>
    <row r="91" spans="2:5" outlineLevel="1">
      <c r="B91" s="560" t="s">
        <v>983</v>
      </c>
      <c r="C91" s="532">
        <v>48212</v>
      </c>
      <c r="E91" s="551"/>
    </row>
    <row r="92" spans="2:5" s="2" customFormat="1" outlineLevel="1">
      <c r="B92" s="560" t="s">
        <v>980</v>
      </c>
      <c r="C92" s="532">
        <v>17858</v>
      </c>
      <c r="E92" s="551"/>
    </row>
    <row r="93" spans="2:5" s="2" customFormat="1" outlineLevel="1">
      <c r="B93" s="560" t="s">
        <v>986</v>
      </c>
      <c r="C93" s="532">
        <v>20096</v>
      </c>
      <c r="E93" s="551"/>
    </row>
    <row r="94" spans="2:5" s="2" customFormat="1" outlineLevel="1">
      <c r="B94" s="560" t="s">
        <v>987</v>
      </c>
      <c r="C94" s="532">
        <v>31633</v>
      </c>
      <c r="E94" s="551"/>
    </row>
    <row r="95" spans="2:5" s="2" customFormat="1" outlineLevel="1">
      <c r="B95" s="560" t="s">
        <v>988</v>
      </c>
      <c r="C95" s="532">
        <v>50767</v>
      </c>
      <c r="E95" s="551"/>
    </row>
    <row r="96" spans="2:5" s="2" customFormat="1" outlineLevel="1">
      <c r="B96" s="560" t="s">
        <v>989</v>
      </c>
      <c r="C96" s="532">
        <v>65391</v>
      </c>
      <c r="E96" s="551"/>
    </row>
    <row r="97" spans="2:5" s="2" customFormat="1" outlineLevel="1">
      <c r="B97" s="560" t="s">
        <v>992</v>
      </c>
      <c r="C97" s="532">
        <v>28525</v>
      </c>
      <c r="E97" s="551"/>
    </row>
    <row r="98" spans="2:5" s="2" customFormat="1" outlineLevel="1">
      <c r="B98" s="560" t="s">
        <v>993</v>
      </c>
      <c r="C98" s="532">
        <v>32193</v>
      </c>
      <c r="E98" s="551"/>
    </row>
    <row r="99" spans="2:5" outlineLevel="1">
      <c r="B99" s="560" t="s">
        <v>994</v>
      </c>
      <c r="C99" s="532">
        <v>51592</v>
      </c>
      <c r="E99" s="551"/>
    </row>
    <row r="100" spans="2:5" s="2" customFormat="1" outlineLevel="1">
      <c r="B100" s="560" t="s">
        <v>995</v>
      </c>
      <c r="C100" s="532">
        <v>66408</v>
      </c>
      <c r="E100" s="551"/>
    </row>
    <row r="101" spans="2:5" s="2" customFormat="1" outlineLevel="1">
      <c r="B101" s="560" t="s">
        <v>998</v>
      </c>
      <c r="C101" s="532">
        <v>28523</v>
      </c>
      <c r="E101" s="551"/>
    </row>
    <row r="102" spans="2:5" s="2" customFormat="1" outlineLevel="1">
      <c r="B102" s="560" t="s">
        <v>999</v>
      </c>
      <c r="C102" s="532">
        <v>39822</v>
      </c>
      <c r="E102" s="551"/>
    </row>
    <row r="103" spans="2:5" s="2" customFormat="1" outlineLevel="1">
      <c r="B103" s="560" t="s">
        <v>1000</v>
      </c>
      <c r="C103" s="532">
        <v>54695</v>
      </c>
      <c r="E103" s="551"/>
    </row>
    <row r="104" spans="2:5" s="2" customFormat="1" outlineLevel="1">
      <c r="B104" s="560" t="s">
        <v>1001</v>
      </c>
      <c r="C104" s="532">
        <v>57513</v>
      </c>
      <c r="E104" s="551"/>
    </row>
    <row r="105" spans="2:5" s="2" customFormat="1" outlineLevel="1">
      <c r="B105" s="560" t="s">
        <v>1004</v>
      </c>
      <c r="C105" s="532">
        <v>42596</v>
      </c>
      <c r="E105" s="551"/>
    </row>
    <row r="106" spans="2:5" outlineLevel="1">
      <c r="B106" s="560" t="s">
        <v>1005</v>
      </c>
      <c r="C106" s="532">
        <v>48039</v>
      </c>
      <c r="E106" s="551"/>
    </row>
    <row r="107" spans="2:5" s="2" customFormat="1" outlineLevel="1">
      <c r="B107" s="560" t="s">
        <v>1006</v>
      </c>
      <c r="C107" s="532">
        <v>55766</v>
      </c>
      <c r="E107" s="551"/>
    </row>
    <row r="108" spans="2:5" s="2" customFormat="1" outlineLevel="1">
      <c r="B108" s="560" t="s">
        <v>1007</v>
      </c>
      <c r="C108" s="532">
        <v>71158</v>
      </c>
      <c r="E108" s="551"/>
    </row>
    <row r="109" spans="2:5" s="2" customFormat="1" outlineLevel="1">
      <c r="B109" s="560" t="s">
        <v>1010</v>
      </c>
      <c r="C109" s="532">
        <v>37158</v>
      </c>
      <c r="E109" s="551"/>
    </row>
    <row r="110" spans="2:5" s="2" customFormat="1" outlineLevel="1">
      <c r="B110" s="560" t="s">
        <v>1011</v>
      </c>
      <c r="C110" s="532">
        <v>49177</v>
      </c>
      <c r="E110" s="551"/>
    </row>
    <row r="111" spans="2:5" outlineLevel="1">
      <c r="B111" s="560" t="s">
        <v>1012</v>
      </c>
      <c r="C111" s="532">
        <v>57842</v>
      </c>
      <c r="E111" s="551"/>
    </row>
    <row r="112" spans="2:5" s="2" customFormat="1" outlineLevel="1">
      <c r="B112" s="560" t="s">
        <v>1013</v>
      </c>
      <c r="C112" s="532">
        <v>71451</v>
      </c>
      <c r="E112" s="551"/>
    </row>
    <row r="113" spans="2:5" s="2" customFormat="1" outlineLevel="1">
      <c r="B113" s="560" t="s">
        <v>1016</v>
      </c>
      <c r="C113" s="532">
        <v>39683</v>
      </c>
      <c r="E113" s="551"/>
    </row>
    <row r="114" spans="2:5" s="2" customFormat="1" outlineLevel="1">
      <c r="B114" s="560" t="s">
        <v>1017</v>
      </c>
      <c r="C114" s="532">
        <v>51970</v>
      </c>
      <c r="E114" s="551"/>
    </row>
    <row r="115" spans="2:5" s="2" customFormat="1" outlineLevel="1">
      <c r="B115" s="560" t="s">
        <v>1018</v>
      </c>
      <c r="C115" s="532">
        <v>63175</v>
      </c>
      <c r="E115" s="551"/>
    </row>
    <row r="116" spans="2:5" s="2" customFormat="1" outlineLevel="1">
      <c r="B116" s="560" t="s">
        <v>1019</v>
      </c>
      <c r="C116" s="532">
        <v>74520</v>
      </c>
      <c r="E116" s="551"/>
    </row>
    <row r="117" spans="2:5" outlineLevel="1">
      <c r="B117" s="560" t="s">
        <v>1022</v>
      </c>
      <c r="C117" s="532">
        <v>48914</v>
      </c>
      <c r="E117" s="551"/>
    </row>
    <row r="118" spans="2:5" s="2" customFormat="1" outlineLevel="1">
      <c r="B118" s="560" t="s">
        <v>1023</v>
      </c>
      <c r="C118" s="532">
        <v>58565</v>
      </c>
      <c r="E118" s="551"/>
    </row>
    <row r="119" spans="2:5" s="2" customFormat="1" outlineLevel="1">
      <c r="B119" s="560" t="s">
        <v>1024</v>
      </c>
      <c r="C119" s="532">
        <v>67627</v>
      </c>
      <c r="E119" s="551"/>
    </row>
    <row r="120" spans="2:5" s="2" customFormat="1" outlineLevel="1">
      <c r="B120" s="560" t="s">
        <v>1025</v>
      </c>
      <c r="C120" s="532">
        <v>82418</v>
      </c>
      <c r="E120" s="551"/>
    </row>
    <row r="121" spans="2:5" ht="72" customHeight="1">
      <c r="B121" s="468" t="s">
        <v>2261</v>
      </c>
      <c r="C121" s="467"/>
      <c r="E121" s="551"/>
    </row>
    <row r="122" spans="2:5" s="549" customFormat="1">
      <c r="B122" s="560" t="s">
        <v>2052</v>
      </c>
      <c r="C122" s="532">
        <v>47295</v>
      </c>
      <c r="E122" s="551"/>
    </row>
    <row r="123" spans="2:5" s="549" customFormat="1">
      <c r="B123" s="560" t="s">
        <v>2053</v>
      </c>
      <c r="C123" s="532">
        <v>61604</v>
      </c>
      <c r="E123" s="551"/>
    </row>
    <row r="124" spans="2:5" s="549" customFormat="1">
      <c r="B124" s="560" t="s">
        <v>2054</v>
      </c>
      <c r="C124" s="532">
        <v>44565</v>
      </c>
      <c r="E124" s="551"/>
    </row>
    <row r="125" spans="2:5" s="549" customFormat="1">
      <c r="B125" s="560" t="s">
        <v>2055</v>
      </c>
      <c r="C125" s="532">
        <v>50915</v>
      </c>
      <c r="E125" s="551"/>
    </row>
    <row r="126" spans="2:5" s="549" customFormat="1">
      <c r="B126" s="560" t="s">
        <v>2056</v>
      </c>
      <c r="C126" s="532">
        <v>63676</v>
      </c>
      <c r="E126" s="551"/>
    </row>
    <row r="127" spans="2:5" s="549" customFormat="1">
      <c r="B127" s="560" t="s">
        <v>2057</v>
      </c>
      <c r="C127" s="532">
        <v>67607</v>
      </c>
      <c r="E127" s="551"/>
    </row>
    <row r="128" spans="2:5" s="549" customFormat="1">
      <c r="B128" s="560" t="s">
        <v>2058</v>
      </c>
      <c r="C128" s="532">
        <v>46598</v>
      </c>
      <c r="E128" s="551"/>
    </row>
    <row r="129" spans="2:5" s="549" customFormat="1">
      <c r="B129" s="560" t="s">
        <v>2059</v>
      </c>
      <c r="C129" s="532">
        <v>50463</v>
      </c>
      <c r="E129" s="551"/>
    </row>
    <row r="130" spans="2:5" s="549" customFormat="1">
      <c r="B130" s="560" t="s">
        <v>2060</v>
      </c>
      <c r="C130" s="532">
        <v>65096</v>
      </c>
      <c r="E130" s="551"/>
    </row>
    <row r="131" spans="2:5" s="549" customFormat="1">
      <c r="B131" s="560" t="s">
        <v>2061</v>
      </c>
      <c r="C131" s="532">
        <v>75690</v>
      </c>
      <c r="E131" s="551"/>
    </row>
    <row r="132" spans="2:5" s="549" customFormat="1">
      <c r="B132" s="560" t="s">
        <v>2062</v>
      </c>
      <c r="C132" s="532">
        <v>83882</v>
      </c>
      <c r="E132" s="551"/>
    </row>
    <row r="133" spans="2:5" s="549" customFormat="1">
      <c r="B133" s="560" t="s">
        <v>2063</v>
      </c>
      <c r="C133" s="532">
        <v>52646</v>
      </c>
      <c r="E133" s="551"/>
    </row>
    <row r="134" spans="2:5" s="549" customFormat="1">
      <c r="B134" s="560" t="s">
        <v>2064</v>
      </c>
      <c r="C134" s="532">
        <v>66187</v>
      </c>
      <c r="E134" s="551"/>
    </row>
    <row r="135" spans="2:5" s="549" customFormat="1">
      <c r="B135" s="560" t="s">
        <v>2065</v>
      </c>
      <c r="C135" s="532">
        <v>76784</v>
      </c>
      <c r="E135" s="551"/>
    </row>
    <row r="136" spans="2:5" s="549" customFormat="1">
      <c r="B136" s="560" t="s">
        <v>2066</v>
      </c>
      <c r="C136" s="532">
        <v>87159</v>
      </c>
      <c r="E136" s="551"/>
    </row>
    <row r="137" spans="2:5" s="549" customFormat="1">
      <c r="B137" s="560" t="s">
        <v>2067</v>
      </c>
      <c r="C137" s="532">
        <v>52646</v>
      </c>
      <c r="E137" s="551"/>
    </row>
    <row r="138" spans="2:5" s="549" customFormat="1">
      <c r="B138" s="560" t="s">
        <v>2068</v>
      </c>
      <c r="C138" s="532">
        <v>66187</v>
      </c>
      <c r="E138" s="551"/>
    </row>
    <row r="139" spans="2:5" s="549" customFormat="1">
      <c r="B139" s="560" t="s">
        <v>2069</v>
      </c>
      <c r="C139" s="532">
        <v>76784</v>
      </c>
      <c r="E139" s="551"/>
    </row>
    <row r="140" spans="2:5" s="549" customFormat="1">
      <c r="B140" s="560" t="s">
        <v>2070</v>
      </c>
      <c r="C140" s="532">
        <v>87159</v>
      </c>
      <c r="E140" s="551"/>
    </row>
    <row r="141" spans="2:5" s="549" customFormat="1">
      <c r="B141" s="560" t="s">
        <v>2071</v>
      </c>
      <c r="C141" s="532">
        <v>56358</v>
      </c>
      <c r="E141" s="551"/>
    </row>
    <row r="142" spans="2:5" s="549" customFormat="1">
      <c r="B142" s="560" t="s">
        <v>2072</v>
      </c>
      <c r="C142" s="532">
        <v>62038</v>
      </c>
      <c r="E142" s="551"/>
    </row>
    <row r="143" spans="2:5" s="549" customFormat="1">
      <c r="B143" s="560" t="s">
        <v>2073</v>
      </c>
      <c r="C143" s="532">
        <v>87376</v>
      </c>
      <c r="E143" s="551"/>
    </row>
    <row r="144" spans="2:5" s="549" customFormat="1">
      <c r="B144" s="560" t="s">
        <v>2074</v>
      </c>
      <c r="C144" s="532">
        <v>95892</v>
      </c>
      <c r="E144" s="551"/>
    </row>
    <row r="145" spans="2:5" s="549" customFormat="1">
      <c r="B145" s="560" t="s">
        <v>2075</v>
      </c>
      <c r="C145" s="532">
        <v>58979</v>
      </c>
      <c r="E145" s="551"/>
    </row>
    <row r="146" spans="2:5" s="549" customFormat="1">
      <c r="B146" s="560" t="s">
        <v>2076</v>
      </c>
      <c r="C146" s="532">
        <v>63131</v>
      </c>
      <c r="E146" s="551"/>
    </row>
    <row r="147" spans="2:5" s="549" customFormat="1">
      <c r="B147" s="560" t="s">
        <v>2077</v>
      </c>
      <c r="C147" s="532">
        <v>88467</v>
      </c>
      <c r="E147" s="551"/>
    </row>
    <row r="148" spans="2:5" s="549" customFormat="1">
      <c r="B148" s="560" t="s">
        <v>2078</v>
      </c>
      <c r="C148" s="532">
        <v>96875</v>
      </c>
      <c r="E148" s="551"/>
    </row>
    <row r="149" spans="2:5" s="549" customFormat="1">
      <c r="B149" s="560" t="s">
        <v>2079</v>
      </c>
      <c r="C149" s="532">
        <v>69310</v>
      </c>
      <c r="E149" s="551"/>
    </row>
    <row r="150" spans="2:5" s="549" customFormat="1">
      <c r="B150" s="560" t="s">
        <v>2080</v>
      </c>
      <c r="C150" s="532">
        <v>70557</v>
      </c>
      <c r="E150" s="551"/>
    </row>
    <row r="151" spans="2:5" s="549" customFormat="1">
      <c r="B151" s="560" t="s">
        <v>2081</v>
      </c>
      <c r="C151" s="532">
        <v>93708</v>
      </c>
      <c r="E151" s="551"/>
    </row>
    <row r="152" spans="2:5" s="549" customFormat="1">
      <c r="B152" s="560" t="s">
        <v>2082</v>
      </c>
      <c r="C152" s="532">
        <v>102226</v>
      </c>
      <c r="E152" s="551"/>
    </row>
    <row r="153" spans="2:5" s="549" customFormat="1">
      <c r="B153" s="560" t="s">
        <v>2083</v>
      </c>
      <c r="C153" s="532">
        <v>81805</v>
      </c>
      <c r="E153" s="551"/>
    </row>
    <row r="154" spans="2:5" s="549" customFormat="1">
      <c r="B154" s="560" t="s">
        <v>2084</v>
      </c>
      <c r="C154" s="532">
        <v>87486</v>
      </c>
      <c r="E154" s="551"/>
    </row>
    <row r="155" spans="2:5" s="549" customFormat="1">
      <c r="B155" s="560" t="s">
        <v>2085</v>
      </c>
      <c r="C155" s="532">
        <v>97877</v>
      </c>
      <c r="E155" s="551"/>
    </row>
    <row r="156" spans="2:5" s="549" customFormat="1">
      <c r="B156" s="560" t="s">
        <v>2086</v>
      </c>
      <c r="C156" s="532">
        <v>107381</v>
      </c>
      <c r="E156" s="551"/>
    </row>
  </sheetData>
  <sheetProtection selectLockedCells="1" selectUnlockedCells="1"/>
  <customSheetViews>
    <customSheetView guid="{0C99ABE2-728B-4C30-A993-CD651C64FAAE}" showGridLines="0" printArea="1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2BA56ECA-30F6-456D-AB26-04DD1698A098}" showGridLines="0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hyperlinks>
    <hyperlink ref="B11:B31" r:id="rId3" display="Нагреватель электрический LV-HDCE 100-1-1 E16"/>
    <hyperlink ref="B33:B36" r:id="rId4" display="Нагреватель водяной LV-HDCW 160-2 E16"/>
    <hyperlink ref="B38:B82" r:id="rId5" display="Нагреватель водяной LV-HDTW 400x200-1 E16"/>
    <hyperlink ref="B84:B120" r:id="rId6" display="Нагреватель электрический LV-HDTE-D 400x200-16-3 E16"/>
    <hyperlink ref="B122:B156" r:id="rId7" display="Нагреватель электрический LV-HDTE-PD 400x200-16-3 E16"/>
  </hyperlink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8"/>
  <drawing r:id="rId9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outlinePr summaryBelow="0" summaryRight="0"/>
  </sheetPr>
  <dimension ref="B8:E84"/>
  <sheetViews>
    <sheetView showGridLines="0" zoomScaleNormal="100" zoomScaleSheetLayoutView="100" zoomScalePageLayoutView="55" workbookViewId="0">
      <selection activeCell="G74" sqref="G74"/>
    </sheetView>
  </sheetViews>
  <sheetFormatPr defaultColWidth="9.109375" defaultRowHeight="14.4" outlineLevelRow="1"/>
  <cols>
    <col min="1" max="1" width="2.88671875" style="3" customWidth="1"/>
    <col min="2" max="2" width="59.6640625" style="3" customWidth="1"/>
    <col min="3" max="3" width="17.109375" style="3" customWidth="1"/>
    <col min="4" max="16384" width="9.109375" style="3"/>
  </cols>
  <sheetData>
    <row r="8" spans="2:5" ht="18" customHeight="1">
      <c r="B8" s="530" t="s">
        <v>552</v>
      </c>
      <c r="C8" s="555"/>
    </row>
    <row r="9" spans="2:5" s="385" customFormat="1" ht="15" customHeight="1">
      <c r="B9" s="470"/>
      <c r="C9" s="386"/>
    </row>
    <row r="10" spans="2:5" ht="30" customHeight="1">
      <c r="B10" s="540" t="s">
        <v>166</v>
      </c>
      <c r="C10" s="546" t="s">
        <v>2249</v>
      </c>
    </row>
    <row r="11" spans="2:5" ht="60" customHeight="1">
      <c r="B11" s="468" t="s">
        <v>550</v>
      </c>
      <c r="C11" s="467"/>
    </row>
    <row r="12" spans="2:5" s="2" customFormat="1" outlineLevel="1">
      <c r="B12" s="563" t="s">
        <v>2115</v>
      </c>
      <c r="C12" s="532">
        <v>48542</v>
      </c>
      <c r="E12" s="552"/>
    </row>
    <row r="13" spans="2:5" s="2" customFormat="1" outlineLevel="1">
      <c r="B13" s="560" t="s">
        <v>2116</v>
      </c>
      <c r="C13" s="532">
        <v>69564</v>
      </c>
      <c r="E13" s="552"/>
    </row>
    <row r="14" spans="2:5" s="549" customFormat="1" outlineLevel="1">
      <c r="B14" s="563" t="s">
        <v>2117</v>
      </c>
      <c r="C14" s="532">
        <v>79763</v>
      </c>
      <c r="E14" s="552"/>
    </row>
    <row r="15" spans="2:5" s="549" customFormat="1" outlineLevel="1">
      <c r="B15" s="560" t="s">
        <v>2118</v>
      </c>
      <c r="C15" s="532">
        <v>91609</v>
      </c>
      <c r="E15" s="552"/>
    </row>
    <row r="16" spans="2:5" s="549" customFormat="1" outlineLevel="1">
      <c r="B16" s="563" t="s">
        <v>2119</v>
      </c>
      <c r="C16" s="532">
        <v>105133</v>
      </c>
      <c r="E16" s="552"/>
    </row>
    <row r="17" spans="2:5" s="549" customFormat="1" outlineLevel="1">
      <c r="B17" s="560" t="s">
        <v>2120</v>
      </c>
      <c r="C17" s="532">
        <v>129885</v>
      </c>
      <c r="E17" s="552"/>
    </row>
    <row r="18" spans="2:5" s="549" customFormat="1" outlineLevel="1">
      <c r="B18" s="563" t="s">
        <v>2121</v>
      </c>
      <c r="C18" s="532">
        <v>167645</v>
      </c>
      <c r="E18" s="552"/>
    </row>
    <row r="19" spans="2:5" s="549" customFormat="1" outlineLevel="1">
      <c r="B19" s="560" t="s">
        <v>2122</v>
      </c>
      <c r="C19" s="532">
        <v>194457</v>
      </c>
      <c r="E19" s="552"/>
    </row>
    <row r="20" spans="2:5" s="549" customFormat="1" outlineLevel="1">
      <c r="B20" s="563" t="s">
        <v>2123</v>
      </c>
      <c r="C20" s="532">
        <v>210554</v>
      </c>
      <c r="E20" s="552"/>
    </row>
    <row r="21" spans="2:5" s="549" customFormat="1" outlineLevel="1">
      <c r="B21" s="560" t="s">
        <v>2124</v>
      </c>
      <c r="C21" s="532">
        <v>61252</v>
      </c>
      <c r="E21" s="552"/>
    </row>
    <row r="22" spans="2:5" s="549" customFormat="1" outlineLevel="1">
      <c r="B22" s="560" t="s">
        <v>2125</v>
      </c>
      <c r="C22" s="532">
        <v>82212</v>
      </c>
      <c r="E22" s="552"/>
    </row>
    <row r="23" spans="2:5" s="549" customFormat="1" outlineLevel="1">
      <c r="B23" s="560" t="s">
        <v>2126</v>
      </c>
      <c r="C23" s="532">
        <v>93770</v>
      </c>
      <c r="E23" s="552"/>
    </row>
    <row r="24" spans="2:5" s="549" customFormat="1" outlineLevel="1">
      <c r="B24" s="560" t="s">
        <v>2127</v>
      </c>
      <c r="C24" s="532">
        <v>111794</v>
      </c>
      <c r="E24" s="552"/>
    </row>
    <row r="25" spans="2:5" s="549" customFormat="1" outlineLevel="1">
      <c r="B25" s="560" t="s">
        <v>2128</v>
      </c>
      <c r="C25" s="532">
        <v>126592</v>
      </c>
      <c r="E25" s="552"/>
    </row>
    <row r="26" spans="2:5" s="549" customFormat="1" outlineLevel="1">
      <c r="B26" s="560" t="s">
        <v>2129</v>
      </c>
      <c r="C26" s="532">
        <v>157891</v>
      </c>
      <c r="E26" s="552"/>
    </row>
    <row r="27" spans="2:5" s="549" customFormat="1" outlineLevel="1">
      <c r="B27" s="560" t="s">
        <v>2130</v>
      </c>
      <c r="C27" s="532">
        <v>214146</v>
      </c>
      <c r="E27" s="552"/>
    </row>
    <row r="28" spans="2:5" s="549" customFormat="1" outlineLevel="1">
      <c r="B28" s="560" t="s">
        <v>2131</v>
      </c>
      <c r="C28" s="532">
        <v>242727</v>
      </c>
      <c r="E28" s="552"/>
    </row>
    <row r="29" spans="2:5" s="549" customFormat="1" outlineLevel="1">
      <c r="B29" s="560" t="s">
        <v>2132</v>
      </c>
      <c r="C29" s="532">
        <v>259121</v>
      </c>
      <c r="E29" s="552"/>
    </row>
    <row r="30" spans="2:5" s="549" customFormat="1" outlineLevel="1">
      <c r="B30" s="560" t="s">
        <v>938</v>
      </c>
      <c r="C30" s="532">
        <v>112133</v>
      </c>
      <c r="E30" s="552"/>
    </row>
    <row r="31" spans="2:5" s="549" customFormat="1" outlineLevel="1">
      <c r="B31" s="560" t="s">
        <v>922</v>
      </c>
      <c r="C31" s="532">
        <v>26675</v>
      </c>
      <c r="E31" s="552"/>
    </row>
    <row r="32" spans="2:5" s="549" customFormat="1" outlineLevel="1">
      <c r="B32" s="560" t="s">
        <v>924</v>
      </c>
      <c r="C32" s="532">
        <v>37743</v>
      </c>
      <c r="E32" s="552"/>
    </row>
    <row r="33" spans="2:5" s="549" customFormat="1" outlineLevel="1">
      <c r="B33" s="560" t="s">
        <v>926</v>
      </c>
      <c r="C33" s="532">
        <v>43033</v>
      </c>
      <c r="E33" s="552"/>
    </row>
    <row r="34" spans="2:5" s="549" customFormat="1" outlineLevel="1">
      <c r="B34" s="560" t="s">
        <v>928</v>
      </c>
      <c r="C34" s="532">
        <v>49369</v>
      </c>
      <c r="E34" s="552"/>
    </row>
    <row r="35" spans="2:5" s="549" customFormat="1" outlineLevel="1">
      <c r="B35" s="560" t="s">
        <v>930</v>
      </c>
      <c r="C35" s="532">
        <v>56326</v>
      </c>
      <c r="E35" s="552"/>
    </row>
    <row r="36" spans="2:5" s="549" customFormat="1" outlineLevel="1">
      <c r="B36" s="560" t="s">
        <v>932</v>
      </c>
      <c r="C36" s="532">
        <v>69390</v>
      </c>
      <c r="E36" s="552"/>
    </row>
    <row r="37" spans="2:5" s="549" customFormat="1" outlineLevel="1">
      <c r="B37" s="560" t="s">
        <v>934</v>
      </c>
      <c r="C37" s="532">
        <v>89276</v>
      </c>
      <c r="E37" s="552"/>
    </row>
    <row r="38" spans="2:5" s="549" customFormat="1" outlineLevel="1">
      <c r="B38" s="560" t="s">
        <v>936</v>
      </c>
      <c r="C38" s="532">
        <v>112133</v>
      </c>
      <c r="E38" s="552"/>
    </row>
    <row r="39" spans="2:5" s="549" customFormat="1" outlineLevel="1">
      <c r="B39" s="560" t="s">
        <v>2133</v>
      </c>
      <c r="C39" s="532">
        <v>33028</v>
      </c>
      <c r="E39" s="552"/>
    </row>
    <row r="40" spans="2:5" s="549" customFormat="1" outlineLevel="1">
      <c r="B40" s="560" t="s">
        <v>2134</v>
      </c>
      <c r="C40" s="532">
        <v>44069</v>
      </c>
      <c r="E40" s="552"/>
    </row>
    <row r="41" spans="2:5" s="549" customFormat="1" outlineLevel="1">
      <c r="B41" s="560" t="s">
        <v>2135</v>
      </c>
      <c r="C41" s="532">
        <v>50037</v>
      </c>
      <c r="E41" s="552"/>
    </row>
    <row r="42" spans="2:5" s="549" customFormat="1" outlineLevel="1">
      <c r="B42" s="560" t="s">
        <v>2136</v>
      </c>
      <c r="C42" s="532">
        <v>59463</v>
      </c>
      <c r="E42" s="552"/>
    </row>
    <row r="43" spans="2:5" s="549" customFormat="1" outlineLevel="1">
      <c r="B43" s="560" t="s">
        <v>2137</v>
      </c>
      <c r="C43" s="532">
        <v>67056</v>
      </c>
      <c r="E43" s="552"/>
    </row>
    <row r="44" spans="2:5" s="2" customFormat="1" outlineLevel="1">
      <c r="B44" s="563" t="s">
        <v>2138</v>
      </c>
      <c r="C44" s="532">
        <v>83392</v>
      </c>
      <c r="E44" s="552"/>
    </row>
    <row r="45" spans="2:5" s="2" customFormat="1" outlineLevel="1">
      <c r="B45" s="560" t="s">
        <v>2139</v>
      </c>
      <c r="C45" s="532">
        <v>112528</v>
      </c>
      <c r="E45" s="552"/>
    </row>
    <row r="46" spans="2:5" s="2" customFormat="1" outlineLevel="1">
      <c r="B46" s="563" t="s">
        <v>2140</v>
      </c>
      <c r="C46" s="532">
        <v>127694</v>
      </c>
      <c r="E46" s="552"/>
    </row>
    <row r="47" spans="2:5" s="2" customFormat="1" outlineLevel="1">
      <c r="B47" s="560" t="s">
        <v>2141</v>
      </c>
      <c r="C47" s="532">
        <v>136416</v>
      </c>
      <c r="E47" s="552"/>
    </row>
    <row r="48" spans="2:5" ht="60" customHeight="1">
      <c r="B48" s="468" t="s">
        <v>553</v>
      </c>
      <c r="C48" s="467"/>
      <c r="E48" s="552"/>
    </row>
    <row r="49" spans="2:5" s="2" customFormat="1" outlineLevel="1">
      <c r="B49" s="563" t="s">
        <v>2142</v>
      </c>
      <c r="C49" s="532">
        <v>64382</v>
      </c>
      <c r="E49" s="552"/>
    </row>
    <row r="50" spans="2:5" s="549" customFormat="1" outlineLevel="1">
      <c r="B50" s="560" t="s">
        <v>2143</v>
      </c>
      <c r="C50" s="532">
        <v>86857</v>
      </c>
      <c r="E50" s="552"/>
    </row>
    <row r="51" spans="2:5" s="549" customFormat="1" outlineLevel="1">
      <c r="B51" s="563" t="s">
        <v>2144</v>
      </c>
      <c r="C51" s="532">
        <v>106034</v>
      </c>
      <c r="E51" s="552"/>
    </row>
    <row r="52" spans="2:5" s="549" customFormat="1" outlineLevel="1">
      <c r="B52" s="560" t="s">
        <v>2145</v>
      </c>
      <c r="C52" s="532">
        <v>125675</v>
      </c>
      <c r="E52" s="552"/>
    </row>
    <row r="53" spans="2:5" s="549" customFormat="1" outlineLevel="1">
      <c r="B53" s="563" t="s">
        <v>2146</v>
      </c>
      <c r="C53" s="532">
        <v>139115</v>
      </c>
      <c r="E53" s="552"/>
    </row>
    <row r="54" spans="2:5" s="549" customFormat="1" outlineLevel="1">
      <c r="B54" s="560" t="s">
        <v>2147</v>
      </c>
      <c r="C54" s="532">
        <v>171875</v>
      </c>
      <c r="E54" s="552"/>
    </row>
    <row r="55" spans="2:5" s="549" customFormat="1" outlineLevel="1">
      <c r="B55" s="563" t="s">
        <v>2148</v>
      </c>
      <c r="C55" s="532">
        <v>242137</v>
      </c>
      <c r="E55" s="552"/>
    </row>
    <row r="56" spans="2:5" s="549" customFormat="1" outlineLevel="1">
      <c r="B56" s="560" t="s">
        <v>2149</v>
      </c>
      <c r="C56" s="532">
        <v>338719</v>
      </c>
      <c r="E56" s="552"/>
    </row>
    <row r="57" spans="2:5" s="549" customFormat="1" outlineLevel="1">
      <c r="B57" s="563" t="s">
        <v>2150</v>
      </c>
      <c r="C57" s="532">
        <v>275128</v>
      </c>
      <c r="E57" s="552"/>
    </row>
    <row r="58" spans="2:5" s="549" customFormat="1" outlineLevel="1">
      <c r="B58" s="563" t="s">
        <v>2151</v>
      </c>
      <c r="C58" s="532">
        <v>44839</v>
      </c>
      <c r="E58" s="552"/>
    </row>
    <row r="59" spans="2:5" s="549" customFormat="1" outlineLevel="1">
      <c r="B59" s="563" t="s">
        <v>2152</v>
      </c>
      <c r="C59" s="532">
        <v>73273</v>
      </c>
      <c r="E59" s="552"/>
    </row>
    <row r="60" spans="2:5" s="549" customFormat="1" outlineLevel="1">
      <c r="B60" s="563" t="s">
        <v>2153</v>
      </c>
      <c r="C60" s="532">
        <v>92206</v>
      </c>
      <c r="E60" s="552"/>
    </row>
    <row r="61" spans="2:5" s="549" customFormat="1" outlineLevel="1">
      <c r="B61" s="563" t="s">
        <v>2154</v>
      </c>
      <c r="C61" s="532">
        <v>103489</v>
      </c>
      <c r="E61" s="552"/>
    </row>
    <row r="62" spans="2:5" s="549" customFormat="1" outlineLevel="1">
      <c r="B62" s="563" t="s">
        <v>2155</v>
      </c>
      <c r="C62" s="532">
        <v>115988</v>
      </c>
      <c r="E62" s="552"/>
    </row>
    <row r="63" spans="2:5" s="549" customFormat="1" outlineLevel="1">
      <c r="B63" s="563" t="s">
        <v>2156</v>
      </c>
      <c r="C63" s="532">
        <v>144758</v>
      </c>
      <c r="E63" s="552"/>
    </row>
    <row r="64" spans="2:5" s="549" customFormat="1" outlineLevel="1">
      <c r="B64" s="563" t="s">
        <v>2157</v>
      </c>
      <c r="C64" s="532">
        <v>189524</v>
      </c>
      <c r="E64" s="552"/>
    </row>
    <row r="65" spans="2:5" s="549" customFormat="1" outlineLevel="1">
      <c r="B65" s="563" t="s">
        <v>2158</v>
      </c>
      <c r="C65" s="532">
        <v>233913</v>
      </c>
      <c r="E65" s="552"/>
    </row>
    <row r="66" spans="2:5" s="549" customFormat="1" outlineLevel="1">
      <c r="B66" s="563" t="s">
        <v>2159</v>
      </c>
      <c r="C66" s="532">
        <v>235064</v>
      </c>
      <c r="E66" s="552"/>
    </row>
    <row r="67" spans="2:5" s="549" customFormat="1" outlineLevel="1">
      <c r="B67" s="563" t="s">
        <v>923</v>
      </c>
      <c r="C67" s="532">
        <v>30339</v>
      </c>
      <c r="E67" s="552"/>
    </row>
    <row r="68" spans="2:5" s="549" customFormat="1" outlineLevel="1">
      <c r="B68" s="563" t="s">
        <v>925</v>
      </c>
      <c r="C68" s="532">
        <v>39598</v>
      </c>
      <c r="E68" s="552"/>
    </row>
    <row r="69" spans="2:5" s="549" customFormat="1" outlineLevel="1">
      <c r="B69" s="563" t="s">
        <v>927</v>
      </c>
      <c r="C69" s="532">
        <v>49255</v>
      </c>
      <c r="E69" s="552"/>
    </row>
    <row r="70" spans="2:5" s="549" customFormat="1" outlineLevel="1">
      <c r="B70" s="563" t="s">
        <v>929</v>
      </c>
      <c r="C70" s="532">
        <v>55311</v>
      </c>
      <c r="E70" s="552"/>
    </row>
    <row r="71" spans="2:5" s="549" customFormat="1" outlineLevel="1">
      <c r="B71" s="563" t="s">
        <v>931</v>
      </c>
      <c r="C71" s="532">
        <v>61755</v>
      </c>
      <c r="E71" s="552"/>
    </row>
    <row r="72" spans="2:5" s="549" customFormat="1" outlineLevel="1">
      <c r="B72" s="563" t="s">
        <v>933</v>
      </c>
      <c r="C72" s="532">
        <v>76827</v>
      </c>
      <c r="E72" s="552"/>
    </row>
    <row r="73" spans="2:5" s="549" customFormat="1" outlineLevel="1">
      <c r="B73" s="563" t="s">
        <v>935</v>
      </c>
      <c r="C73" s="532">
        <v>100216</v>
      </c>
      <c r="E73" s="552"/>
    </row>
    <row r="74" spans="2:5" s="549" customFormat="1" outlineLevel="1">
      <c r="B74" s="563" t="s">
        <v>2160</v>
      </c>
      <c r="C74" s="532">
        <v>123288</v>
      </c>
      <c r="E74" s="552"/>
    </row>
    <row r="75" spans="2:5" s="549" customFormat="1" outlineLevel="1">
      <c r="B75" s="563" t="s">
        <v>939</v>
      </c>
      <c r="C75" s="532">
        <v>124388</v>
      </c>
      <c r="E75" s="552"/>
    </row>
    <row r="76" spans="2:5" s="549" customFormat="1" outlineLevel="1">
      <c r="B76" s="563" t="s">
        <v>2161</v>
      </c>
      <c r="C76" s="532">
        <v>34595</v>
      </c>
      <c r="E76" s="552"/>
    </row>
    <row r="77" spans="2:5" s="549" customFormat="1" outlineLevel="1">
      <c r="B77" s="563" t="s">
        <v>2162</v>
      </c>
      <c r="C77" s="532">
        <v>46390</v>
      </c>
      <c r="E77" s="552"/>
    </row>
    <row r="78" spans="2:5" s="549" customFormat="1" outlineLevel="1">
      <c r="B78" s="563" t="s">
        <v>2163</v>
      </c>
      <c r="C78" s="532">
        <v>56168</v>
      </c>
      <c r="E78" s="552"/>
    </row>
    <row r="79" spans="2:5" s="549" customFormat="1" outlineLevel="1">
      <c r="B79" s="563" t="s">
        <v>2164</v>
      </c>
      <c r="C79" s="532">
        <v>66404</v>
      </c>
      <c r="E79" s="552"/>
    </row>
    <row r="80" spans="2:5" s="549" customFormat="1" outlineLevel="1">
      <c r="B80" s="563" t="s">
        <v>2165</v>
      </c>
      <c r="C80" s="532">
        <v>73317</v>
      </c>
      <c r="E80" s="552"/>
    </row>
    <row r="81" spans="2:5" s="549" customFormat="1" outlineLevel="1">
      <c r="B81" s="563" t="s">
        <v>2166</v>
      </c>
      <c r="C81" s="532">
        <v>90385</v>
      </c>
      <c r="E81" s="552"/>
    </row>
    <row r="82" spans="2:5" s="549" customFormat="1" outlineLevel="1">
      <c r="B82" s="563" t="s">
        <v>2167</v>
      </c>
      <c r="C82" s="532">
        <v>126523</v>
      </c>
      <c r="E82" s="552"/>
    </row>
    <row r="83" spans="2:5" s="549" customFormat="1" outlineLevel="1">
      <c r="B83" s="563" t="s">
        <v>2168</v>
      </c>
      <c r="C83" s="532">
        <v>175689</v>
      </c>
      <c r="E83" s="552"/>
    </row>
    <row r="84" spans="2:5" s="2" customFormat="1" outlineLevel="1">
      <c r="B84" s="560" t="s">
        <v>2169</v>
      </c>
      <c r="C84" s="532">
        <v>144422</v>
      </c>
      <c r="E84" s="552"/>
    </row>
  </sheetData>
  <sheetProtection selectLockedCells="1" selectUnlockedCells="1"/>
  <customSheetViews>
    <customSheetView guid="{0C99ABE2-728B-4C30-A993-CD651C64FAAE}" showGridLines="0" printArea="1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2BA56ECA-30F6-456D-AB26-04DD1698A098}" showGridLines="0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hyperlinks>
    <hyperlink ref="B12:B47" r:id="rId3" display="Охладитель водяной LV-CDTW 400x200-23 E16"/>
    <hyperlink ref="B49:B84" r:id="rId4" display="Охладитель фреоновый LV-CDTF 400x200-24 E16"/>
  </hyperlink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/>
  </sheetPr>
  <dimension ref="B1:B48"/>
  <sheetViews>
    <sheetView showGridLines="0" zoomScaleNormal="100" zoomScaleSheetLayoutView="100" zoomScalePageLayoutView="55" workbookViewId="0">
      <selection activeCell="G16" sqref="G16"/>
    </sheetView>
  </sheetViews>
  <sheetFormatPr defaultColWidth="9.109375" defaultRowHeight="14.4"/>
  <cols>
    <col min="1" max="2" width="2.88671875" style="3" customWidth="1"/>
    <col min="3" max="16384" width="9.109375" style="3"/>
  </cols>
  <sheetData>
    <row r="1" spans="2:2" ht="20.100000000000001" customHeight="1"/>
    <row r="2" spans="2:2" ht="15" customHeight="1"/>
    <row r="3" spans="2:2" ht="18" customHeight="1">
      <c r="B3" s="385"/>
    </row>
    <row r="4" spans="2:2" s="385" customFormat="1" ht="15" customHeight="1"/>
    <row r="5" spans="2:2" ht="30" customHeight="1">
      <c r="B5" s="479"/>
    </row>
    <row r="6" spans="2:2" ht="30" customHeight="1">
      <c r="B6" s="479"/>
    </row>
    <row r="7" spans="2:2" ht="30" customHeight="1">
      <c r="B7" s="479"/>
    </row>
    <row r="8" spans="2:2" ht="30" customHeight="1">
      <c r="B8" s="479"/>
    </row>
    <row r="9" spans="2:2" ht="46.5" customHeight="1">
      <c r="B9" s="479"/>
    </row>
    <row r="10" spans="2:2" ht="46.5" customHeight="1">
      <c r="B10" s="479"/>
    </row>
    <row r="11" spans="2:2" ht="46.5" customHeight="1">
      <c r="B11" s="479"/>
    </row>
    <row r="12" spans="2:2" ht="46.5" customHeight="1">
      <c r="B12" s="479"/>
    </row>
    <row r="13" spans="2:2" ht="39" customHeight="1">
      <c r="B13" s="479"/>
    </row>
    <row r="14" spans="2:2" ht="39" customHeight="1">
      <c r="B14" s="479"/>
    </row>
    <row r="15" spans="2:2" ht="39" customHeight="1">
      <c r="B15" s="479"/>
    </row>
    <row r="16" spans="2:2" ht="39" customHeight="1">
      <c r="B16" s="479"/>
    </row>
    <row r="17" spans="2:2" ht="39" customHeight="1">
      <c r="B17" s="479"/>
    </row>
    <row r="18" spans="2:2" ht="39" customHeight="1">
      <c r="B18" s="479"/>
    </row>
    <row r="19" spans="2:2" ht="19.5" customHeight="1">
      <c r="B19" s="479"/>
    </row>
    <row r="20" spans="2:2" ht="78.75" customHeight="1">
      <c r="B20" s="479"/>
    </row>
    <row r="21" spans="2:2" ht="18.75" customHeight="1">
      <c r="B21" s="479"/>
    </row>
    <row r="22" spans="2:2" ht="15.75" customHeight="1">
      <c r="B22" s="479"/>
    </row>
    <row r="23" spans="2:2" ht="22.5" customHeight="1">
      <c r="B23" s="479"/>
    </row>
    <row r="24" spans="2:2" ht="22.5" customHeight="1">
      <c r="B24" s="479"/>
    </row>
    <row r="25" spans="2:2" ht="23.25" customHeight="1">
      <c r="B25" s="479"/>
    </row>
    <row r="26" spans="2:2" ht="91.5" customHeight="1">
      <c r="B26" s="479"/>
    </row>
    <row r="27" spans="2:2" ht="44.25" customHeight="1">
      <c r="B27" s="479"/>
    </row>
    <row r="28" spans="2:2" ht="27" customHeight="1">
      <c r="B28" s="479"/>
    </row>
    <row r="29" spans="2:2" ht="13.5" customHeight="1">
      <c r="B29" s="479"/>
    </row>
    <row r="30" spans="2:2" ht="27" customHeight="1">
      <c r="B30" s="479"/>
    </row>
    <row r="31" spans="2:2" ht="15.75" customHeight="1">
      <c r="B31" s="479"/>
    </row>
    <row r="32" spans="2:2" ht="24.75" customHeight="1">
      <c r="B32" s="479"/>
    </row>
    <row r="33" spans="2:2" ht="24.75" customHeight="1">
      <c r="B33" s="479"/>
    </row>
    <row r="34" spans="2:2" ht="20.25" customHeight="1">
      <c r="B34" s="479"/>
    </row>
    <row r="35" spans="2:2" ht="22.5" customHeight="1">
      <c r="B35" s="479"/>
    </row>
    <row r="36" spans="2:2" ht="21" customHeight="1">
      <c r="B36" s="479"/>
    </row>
    <row r="37" spans="2:2" ht="19.5" customHeight="1">
      <c r="B37" s="479"/>
    </row>
    <row r="38" spans="2:2" ht="15" customHeight="1">
      <c r="B38" s="479"/>
    </row>
    <row r="39" spans="2:2" ht="19.5" customHeight="1">
      <c r="B39" s="479"/>
    </row>
    <row r="40" spans="2:2" ht="19.5" customHeight="1">
      <c r="B40" s="479"/>
    </row>
    <row r="41" spans="2:2" ht="21" customHeight="1">
      <c r="B41" s="479"/>
    </row>
    <row r="42" spans="2:2" ht="36" customHeight="1">
      <c r="B42" s="479"/>
    </row>
    <row r="43" spans="2:2" ht="30" customHeight="1">
      <c r="B43" s="479"/>
    </row>
    <row r="44" spans="2:2" ht="36.75" customHeight="1">
      <c r="B44" s="479"/>
    </row>
    <row r="45" spans="2:2" ht="104.25" customHeight="1">
      <c r="B45" s="479"/>
    </row>
    <row r="46" spans="2:2" ht="21.75" customHeight="1">
      <c r="B46" s="479"/>
    </row>
    <row r="47" spans="2:2" ht="19.95" customHeight="1"/>
    <row r="48" spans="2:2" ht="14.4" customHeight="1"/>
  </sheetData>
  <sheetProtection formatCells="0" formatColumns="0" formatRows="0" insertColumns="0" insertRows="0" insertHyperlinks="0" deleteColumns="0" deleteRows="0" sort="0" autoFilter="0" pivotTables="0"/>
  <customSheetViews>
    <customSheetView guid="{0C99ABE2-728B-4C30-A993-CD651C64FAAE}" showGridLines="0">
      <selection activeCell="E3" sqref="E3:F3"/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2BA56ECA-30F6-456D-AB26-04DD1698A098}" showGridLines="0">
      <selection activeCell="F7" sqref="D7:F7"/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outlinePr summaryBelow="0" summaryRight="0"/>
  </sheetPr>
  <dimension ref="B7:E19"/>
  <sheetViews>
    <sheetView showGridLines="0" zoomScaleNormal="100" zoomScaleSheetLayoutView="100" zoomScalePageLayoutView="55" workbookViewId="0">
      <selection activeCell="D21" sqref="D21"/>
    </sheetView>
  </sheetViews>
  <sheetFormatPr defaultColWidth="9.109375" defaultRowHeight="14.4" outlineLevelRow="1"/>
  <cols>
    <col min="1" max="1" width="2.88671875" style="3" customWidth="1"/>
    <col min="2" max="2" width="59.6640625" style="3" customWidth="1"/>
    <col min="3" max="3" width="14" style="3" customWidth="1"/>
    <col min="4" max="16384" width="9.109375" style="3"/>
  </cols>
  <sheetData>
    <row r="7" spans="2:5" ht="18" customHeight="1">
      <c r="B7" s="530" t="s">
        <v>554</v>
      </c>
      <c r="C7" s="555"/>
    </row>
    <row r="8" spans="2:5" s="385" customFormat="1" ht="15" customHeight="1">
      <c r="B8" s="470"/>
      <c r="C8" s="386"/>
    </row>
    <row r="9" spans="2:5" ht="30" customHeight="1">
      <c r="B9" s="540" t="s">
        <v>166</v>
      </c>
      <c r="C9" s="546" t="s">
        <v>2249</v>
      </c>
    </row>
    <row r="10" spans="2:5" ht="60" customHeight="1">
      <c r="B10" s="468" t="s">
        <v>555</v>
      </c>
      <c r="C10" s="467"/>
    </row>
    <row r="11" spans="2:5" outlineLevel="1">
      <c r="B11" s="563" t="s">
        <v>799</v>
      </c>
      <c r="C11" s="532">
        <v>68604</v>
      </c>
      <c r="E11" s="551"/>
    </row>
    <row r="12" spans="2:5" outlineLevel="1">
      <c r="B12" s="560" t="s">
        <v>800</v>
      </c>
      <c r="C12" s="532">
        <v>81739</v>
      </c>
      <c r="E12" s="551"/>
    </row>
    <row r="13" spans="2:5" outlineLevel="1">
      <c r="B13" s="563" t="s">
        <v>801</v>
      </c>
      <c r="C13" s="532">
        <v>96676</v>
      </c>
      <c r="E13" s="551"/>
    </row>
    <row r="14" spans="2:5" outlineLevel="1">
      <c r="B14" s="560" t="s">
        <v>802</v>
      </c>
      <c r="C14" s="532">
        <v>115096</v>
      </c>
      <c r="E14" s="551"/>
    </row>
    <row r="15" spans="2:5" outlineLevel="1">
      <c r="B15" s="563" t="s">
        <v>803</v>
      </c>
      <c r="C15" s="532">
        <v>121490</v>
      </c>
      <c r="E15" s="551"/>
    </row>
    <row r="16" spans="2:5" outlineLevel="1">
      <c r="B16" s="560" t="s">
        <v>804</v>
      </c>
      <c r="C16" s="532">
        <v>170258</v>
      </c>
      <c r="E16" s="551"/>
    </row>
    <row r="17" spans="2:5" ht="15" customHeight="1" outlineLevel="1">
      <c r="B17" s="563" t="s">
        <v>805</v>
      </c>
      <c r="C17" s="532">
        <v>230959</v>
      </c>
      <c r="E17" s="551"/>
    </row>
    <row r="18" spans="2:5" outlineLevel="1">
      <c r="B18" s="560" t="s">
        <v>806</v>
      </c>
      <c r="C18" s="532">
        <v>235233</v>
      </c>
      <c r="E18" s="551"/>
    </row>
    <row r="19" spans="2:5" outlineLevel="1">
      <c r="B19" s="563" t="s">
        <v>807</v>
      </c>
      <c r="C19" s="532">
        <v>314575</v>
      </c>
      <c r="E19" s="551"/>
    </row>
  </sheetData>
  <sheetProtection selectLockedCells="1" selectUnlockedCells="1"/>
  <customSheetViews>
    <customSheetView guid="{0C99ABE2-728B-4C30-A993-CD651C64FAAE}" showGridLines="0" printArea="1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2BA56ECA-30F6-456D-AB26-04DD1698A098}" showGridLines="0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hyperlinks>
    <hyperlink ref="B11:B19" r:id="rId3" display="Рекуператор пластинчатый LV-PDT 400x200 E16"/>
  </hyperlink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outlinePr summaryBelow="0" summaryRight="0"/>
  </sheetPr>
  <dimension ref="B7:E119"/>
  <sheetViews>
    <sheetView showGridLines="0" zoomScaleNormal="100" zoomScaleSheetLayoutView="100" zoomScalePageLayoutView="55" workbookViewId="0">
      <selection activeCell="H24" sqref="H24"/>
    </sheetView>
  </sheetViews>
  <sheetFormatPr defaultColWidth="9.109375" defaultRowHeight="14.4" outlineLevelRow="1"/>
  <cols>
    <col min="1" max="1" width="2.88671875" style="3" customWidth="1"/>
    <col min="2" max="2" width="57" style="3" customWidth="1"/>
    <col min="3" max="3" width="16.6640625" style="3" customWidth="1"/>
    <col min="4" max="16384" width="9.109375" style="3"/>
  </cols>
  <sheetData>
    <row r="7" spans="2:5" ht="18" customHeight="1">
      <c r="B7" s="530" t="s">
        <v>556</v>
      </c>
      <c r="C7" s="555"/>
    </row>
    <row r="8" spans="2:5" s="385" customFormat="1" ht="15" customHeight="1">
      <c r="B8" s="470"/>
      <c r="C8" s="386"/>
    </row>
    <row r="9" spans="2:5" ht="30" customHeight="1">
      <c r="B9" s="540" t="s">
        <v>166</v>
      </c>
      <c r="C9" s="546" t="s">
        <v>2249</v>
      </c>
    </row>
    <row r="10" spans="2:5" ht="60" customHeight="1">
      <c r="B10" s="468" t="s">
        <v>557</v>
      </c>
      <c r="C10" s="467"/>
    </row>
    <row r="11" spans="2:5" outlineLevel="1">
      <c r="B11" s="563" t="s">
        <v>1032</v>
      </c>
      <c r="C11" s="532">
        <v>2042</v>
      </c>
      <c r="E11" s="551"/>
    </row>
    <row r="12" spans="2:5" outlineLevel="1">
      <c r="B12" s="560" t="s">
        <v>1035</v>
      </c>
      <c r="C12" s="532">
        <v>2579</v>
      </c>
      <c r="E12" s="551"/>
    </row>
    <row r="13" spans="2:5" outlineLevel="1">
      <c r="B13" s="563" t="s">
        <v>1038</v>
      </c>
      <c r="C13" s="532">
        <v>2792</v>
      </c>
      <c r="E13" s="551"/>
    </row>
    <row r="14" spans="2:5" outlineLevel="1">
      <c r="B14" s="560" t="s">
        <v>1041</v>
      </c>
      <c r="C14" s="532">
        <v>3115</v>
      </c>
      <c r="E14" s="551"/>
    </row>
    <row r="15" spans="2:5" outlineLevel="1">
      <c r="B15" s="563" t="s">
        <v>1044</v>
      </c>
      <c r="C15" s="532">
        <v>3542</v>
      </c>
      <c r="E15" s="551"/>
    </row>
    <row r="16" spans="2:5" outlineLevel="1">
      <c r="B16" s="560" t="s">
        <v>1047</v>
      </c>
      <c r="C16" s="532">
        <v>4187</v>
      </c>
      <c r="E16" s="551"/>
    </row>
    <row r="17" spans="2:5" ht="60" customHeight="1" outlineLevel="1">
      <c r="B17" s="468" t="s">
        <v>567</v>
      </c>
      <c r="C17" s="467"/>
      <c r="E17" s="551"/>
    </row>
    <row r="18" spans="2:5" s="2" customFormat="1" outlineLevel="1">
      <c r="B18" s="563" t="s">
        <v>2170</v>
      </c>
      <c r="C18" s="532">
        <v>757</v>
      </c>
      <c r="E18" s="551"/>
    </row>
    <row r="19" spans="2:5" s="2" customFormat="1" outlineLevel="1">
      <c r="B19" s="560" t="s">
        <v>2171</v>
      </c>
      <c r="C19" s="532">
        <v>757</v>
      </c>
      <c r="E19" s="551"/>
    </row>
    <row r="20" spans="2:5" s="2" customFormat="1" outlineLevel="1">
      <c r="B20" s="563" t="s">
        <v>2172</v>
      </c>
      <c r="C20" s="532">
        <v>757</v>
      </c>
      <c r="E20" s="551"/>
    </row>
    <row r="21" spans="2:5" s="2" customFormat="1" outlineLevel="1">
      <c r="B21" s="560" t="s">
        <v>2173</v>
      </c>
      <c r="C21" s="532">
        <v>757</v>
      </c>
      <c r="E21" s="551"/>
    </row>
    <row r="22" spans="2:5" s="2" customFormat="1" outlineLevel="1">
      <c r="B22" s="563" t="s">
        <v>2174</v>
      </c>
      <c r="C22" s="532">
        <v>864</v>
      </c>
      <c r="E22" s="551"/>
    </row>
    <row r="23" spans="2:5" s="2" customFormat="1" outlineLevel="1">
      <c r="B23" s="560" t="s">
        <v>2175</v>
      </c>
      <c r="C23" s="532">
        <v>970</v>
      </c>
      <c r="E23" s="551"/>
    </row>
    <row r="24" spans="2:5" ht="60" customHeight="1">
      <c r="B24" s="468" t="s">
        <v>558</v>
      </c>
      <c r="C24" s="467"/>
      <c r="E24" s="551"/>
    </row>
    <row r="25" spans="2:5" s="2" customFormat="1" outlineLevel="1">
      <c r="B25" s="563" t="s">
        <v>1050</v>
      </c>
      <c r="C25" s="532">
        <v>4292</v>
      </c>
      <c r="E25" s="551"/>
    </row>
    <row r="26" spans="2:5" s="2" customFormat="1" outlineLevel="1">
      <c r="B26" s="560" t="s">
        <v>1052</v>
      </c>
      <c r="C26" s="532">
        <v>4827</v>
      </c>
      <c r="E26" s="551"/>
    </row>
    <row r="27" spans="2:5" s="2" customFormat="1" outlineLevel="1">
      <c r="B27" s="563" t="s">
        <v>1054</v>
      </c>
      <c r="C27" s="532">
        <v>5472</v>
      </c>
      <c r="E27" s="551"/>
    </row>
    <row r="28" spans="2:5" s="2" customFormat="1" outlineLevel="1">
      <c r="B28" s="560" t="s">
        <v>1056</v>
      </c>
      <c r="C28" s="532">
        <v>5900</v>
      </c>
      <c r="E28" s="551"/>
    </row>
    <row r="29" spans="2:5" s="2" customFormat="1" outlineLevel="1">
      <c r="B29" s="563" t="s">
        <v>1058</v>
      </c>
      <c r="C29" s="532">
        <v>6650</v>
      </c>
      <c r="E29" s="551"/>
    </row>
    <row r="30" spans="2:5" s="2" customFormat="1" outlineLevel="1">
      <c r="B30" s="560" t="s">
        <v>1060</v>
      </c>
      <c r="C30" s="532">
        <v>7722</v>
      </c>
      <c r="E30" s="551"/>
    </row>
    <row r="31" spans="2:5" s="2" customFormat="1" outlineLevel="1">
      <c r="B31" s="563" t="s">
        <v>1062</v>
      </c>
      <c r="C31" s="532">
        <v>9225</v>
      </c>
      <c r="E31" s="551"/>
    </row>
    <row r="32" spans="2:5" s="2" customFormat="1" outlineLevel="1">
      <c r="B32" s="560" t="s">
        <v>1064</v>
      </c>
      <c r="C32" s="532">
        <v>10403</v>
      </c>
      <c r="E32" s="551"/>
    </row>
    <row r="33" spans="2:5" s="2" customFormat="1" outlineLevel="1">
      <c r="B33" s="563" t="s">
        <v>1066</v>
      </c>
      <c r="C33" s="532">
        <v>12225</v>
      </c>
      <c r="E33" s="551"/>
    </row>
    <row r="34" spans="2:5" s="2" customFormat="1" outlineLevel="1">
      <c r="B34" s="560" t="s">
        <v>1051</v>
      </c>
      <c r="C34" s="532">
        <v>4615</v>
      </c>
      <c r="E34" s="551"/>
    </row>
    <row r="35" spans="2:5" s="2" customFormat="1" outlineLevel="1">
      <c r="B35" s="563" t="s">
        <v>1053</v>
      </c>
      <c r="C35" s="532">
        <v>5150</v>
      </c>
      <c r="E35" s="551"/>
    </row>
    <row r="36" spans="2:5" s="2" customFormat="1" outlineLevel="1">
      <c r="B36" s="560" t="s">
        <v>1055</v>
      </c>
      <c r="C36" s="532">
        <v>5792</v>
      </c>
      <c r="E36" s="551"/>
    </row>
    <row r="37" spans="2:5" s="2" customFormat="1" outlineLevel="1">
      <c r="B37" s="563" t="s">
        <v>1057</v>
      </c>
      <c r="C37" s="532">
        <v>6330</v>
      </c>
      <c r="E37" s="551"/>
    </row>
    <row r="38" spans="2:5" s="2" customFormat="1" outlineLevel="1">
      <c r="B38" s="560" t="s">
        <v>1059</v>
      </c>
      <c r="C38" s="532">
        <v>7187</v>
      </c>
      <c r="E38" s="551"/>
    </row>
    <row r="39" spans="2:5" s="2" customFormat="1" outlineLevel="1">
      <c r="B39" s="563" t="s">
        <v>1061</v>
      </c>
      <c r="C39" s="532">
        <v>8365</v>
      </c>
      <c r="E39" s="551"/>
    </row>
    <row r="40" spans="2:5" s="2" customFormat="1" outlineLevel="1">
      <c r="B40" s="560" t="s">
        <v>1063</v>
      </c>
      <c r="C40" s="532">
        <v>10080</v>
      </c>
      <c r="E40" s="551"/>
    </row>
    <row r="41" spans="2:5" s="2" customFormat="1" outlineLevel="1">
      <c r="B41" s="563" t="s">
        <v>1065</v>
      </c>
      <c r="C41" s="532">
        <v>11473</v>
      </c>
      <c r="E41" s="551"/>
    </row>
    <row r="42" spans="2:5" s="2" customFormat="1" outlineLevel="1">
      <c r="B42" s="560" t="s">
        <v>1067</v>
      </c>
      <c r="C42" s="532">
        <v>13403</v>
      </c>
      <c r="E42" s="551"/>
    </row>
    <row r="43" spans="2:5" s="2" customFormat="1" outlineLevel="1">
      <c r="B43" s="563" t="s">
        <v>1089</v>
      </c>
      <c r="C43" s="532">
        <v>4937</v>
      </c>
      <c r="E43" s="551"/>
    </row>
    <row r="44" spans="2:5" s="2" customFormat="1" outlineLevel="1">
      <c r="B44" s="560" t="s">
        <v>1091</v>
      </c>
      <c r="C44" s="532">
        <v>5577</v>
      </c>
      <c r="E44" s="551"/>
    </row>
    <row r="45" spans="2:5" s="2" customFormat="1" outlineLevel="1">
      <c r="B45" s="563" t="s">
        <v>1093</v>
      </c>
      <c r="C45" s="532">
        <v>6330</v>
      </c>
      <c r="E45" s="551"/>
    </row>
    <row r="46" spans="2:5" s="2" customFormat="1" outlineLevel="1">
      <c r="B46" s="560" t="s">
        <v>1095</v>
      </c>
      <c r="C46" s="532">
        <v>6867</v>
      </c>
      <c r="E46" s="551"/>
    </row>
    <row r="47" spans="2:5" s="2" customFormat="1" outlineLevel="1">
      <c r="B47" s="563" t="s">
        <v>1097</v>
      </c>
      <c r="C47" s="532">
        <v>7830</v>
      </c>
      <c r="E47" s="551"/>
    </row>
    <row r="48" spans="2:5" s="2" customFormat="1" outlineLevel="1">
      <c r="B48" s="560" t="s">
        <v>1099</v>
      </c>
      <c r="C48" s="532">
        <v>9225</v>
      </c>
      <c r="E48" s="551"/>
    </row>
    <row r="49" spans="2:5" s="2" customFormat="1" outlineLevel="1">
      <c r="B49" s="563" t="s">
        <v>1101</v>
      </c>
      <c r="C49" s="532">
        <v>11260</v>
      </c>
      <c r="E49" s="551"/>
    </row>
    <row r="50" spans="2:5" s="2" customFormat="1" outlineLevel="1">
      <c r="B50" s="560" t="s">
        <v>1103</v>
      </c>
      <c r="C50" s="532">
        <v>12651</v>
      </c>
      <c r="E50" s="551"/>
    </row>
    <row r="51" spans="2:5" s="2" customFormat="1" outlineLevel="1">
      <c r="B51" s="563" t="s">
        <v>1105</v>
      </c>
      <c r="C51" s="532">
        <v>14796</v>
      </c>
      <c r="E51" s="551"/>
    </row>
    <row r="52" spans="2:5" s="2" customFormat="1" outlineLevel="1">
      <c r="B52" s="560" t="s">
        <v>1106</v>
      </c>
      <c r="C52" s="532">
        <v>17258</v>
      </c>
      <c r="E52" s="551"/>
    </row>
    <row r="53" spans="2:5" s="2" customFormat="1" outlineLevel="1">
      <c r="B53" s="563" t="s">
        <v>1090</v>
      </c>
      <c r="C53" s="532">
        <v>5472</v>
      </c>
      <c r="E53" s="551"/>
    </row>
    <row r="54" spans="2:5" s="2" customFormat="1" outlineLevel="1">
      <c r="B54" s="560" t="s">
        <v>1092</v>
      </c>
      <c r="C54" s="532">
        <v>6220</v>
      </c>
      <c r="E54" s="551"/>
    </row>
    <row r="55" spans="2:5" s="2" customFormat="1" outlineLevel="1">
      <c r="B55" s="563" t="s">
        <v>1094</v>
      </c>
      <c r="C55" s="532">
        <v>7187</v>
      </c>
      <c r="E55" s="551"/>
    </row>
    <row r="56" spans="2:5" s="2" customFormat="1" outlineLevel="1">
      <c r="B56" s="560" t="s">
        <v>1096</v>
      </c>
      <c r="C56" s="532">
        <v>7937</v>
      </c>
      <c r="E56" s="551"/>
    </row>
    <row r="57" spans="2:5" s="2" customFormat="1" outlineLevel="1">
      <c r="B57" s="563" t="s">
        <v>1098</v>
      </c>
      <c r="C57" s="532">
        <v>9115</v>
      </c>
      <c r="E57" s="551"/>
    </row>
    <row r="58" spans="2:5" s="2" customFormat="1" outlineLevel="1">
      <c r="B58" s="560" t="s">
        <v>1100</v>
      </c>
      <c r="C58" s="532">
        <v>10828</v>
      </c>
      <c r="E58" s="551"/>
    </row>
    <row r="59" spans="2:5" s="2" customFormat="1" outlineLevel="1">
      <c r="B59" s="563" t="s">
        <v>1102</v>
      </c>
      <c r="C59" s="532">
        <v>13295</v>
      </c>
      <c r="E59" s="551"/>
    </row>
    <row r="60" spans="2:5" s="2" customFormat="1" outlineLevel="1">
      <c r="B60" s="560" t="s">
        <v>1104</v>
      </c>
      <c r="C60" s="532">
        <v>15010</v>
      </c>
      <c r="E60" s="551"/>
    </row>
    <row r="61" spans="2:5" ht="60" customHeight="1" outlineLevel="1">
      <c r="B61" s="468" t="s">
        <v>566</v>
      </c>
      <c r="C61" s="467"/>
      <c r="E61" s="551"/>
    </row>
    <row r="62" spans="2:5" s="2" customFormat="1" outlineLevel="1">
      <c r="B62" s="563" t="s">
        <v>2176</v>
      </c>
      <c r="C62" s="532">
        <v>1292</v>
      </c>
      <c r="E62" s="551"/>
    </row>
    <row r="63" spans="2:5" s="2" customFormat="1" outlineLevel="1">
      <c r="B63" s="560" t="s">
        <v>2177</v>
      </c>
      <c r="C63" s="532">
        <v>1507</v>
      </c>
      <c r="E63" s="551"/>
    </row>
    <row r="64" spans="2:5" s="2" customFormat="1" outlineLevel="1">
      <c r="B64" s="563" t="s">
        <v>2178</v>
      </c>
      <c r="C64" s="532">
        <v>1829</v>
      </c>
      <c r="E64" s="551"/>
    </row>
    <row r="65" spans="2:5" s="2" customFormat="1" outlineLevel="1">
      <c r="B65" s="560" t="s">
        <v>2179</v>
      </c>
      <c r="C65" s="532">
        <v>2150</v>
      </c>
      <c r="E65" s="551"/>
    </row>
    <row r="66" spans="2:5" s="2" customFormat="1" outlineLevel="1">
      <c r="B66" s="563" t="s">
        <v>2180</v>
      </c>
      <c r="C66" s="532">
        <v>2579</v>
      </c>
      <c r="E66" s="551"/>
    </row>
    <row r="67" spans="2:5" s="2" customFormat="1" outlineLevel="1">
      <c r="B67" s="560" t="s">
        <v>2181</v>
      </c>
      <c r="C67" s="532">
        <v>3222</v>
      </c>
      <c r="E67" s="551"/>
    </row>
    <row r="68" spans="2:5" s="2" customFormat="1" outlineLevel="1">
      <c r="B68" s="563" t="s">
        <v>2182</v>
      </c>
      <c r="C68" s="532">
        <v>4292</v>
      </c>
      <c r="E68" s="551"/>
    </row>
    <row r="69" spans="2:5" s="2" customFormat="1" outlineLevel="1">
      <c r="B69" s="560" t="s">
        <v>2183</v>
      </c>
      <c r="C69" s="532">
        <v>4827</v>
      </c>
      <c r="E69" s="551"/>
    </row>
    <row r="70" spans="2:5" s="2" customFormat="1" outlineLevel="1">
      <c r="B70" s="563" t="s">
        <v>2184</v>
      </c>
      <c r="C70" s="532">
        <v>5257</v>
      </c>
      <c r="E70" s="551"/>
    </row>
    <row r="71" spans="2:5" s="2" customFormat="1" outlineLevel="1">
      <c r="B71" s="560" t="s">
        <v>2185</v>
      </c>
      <c r="C71" s="532">
        <v>1612</v>
      </c>
      <c r="E71" s="551"/>
    </row>
    <row r="72" spans="2:5" s="2" customFormat="1" outlineLevel="1">
      <c r="B72" s="563" t="s">
        <v>2186</v>
      </c>
      <c r="C72" s="532">
        <v>2687</v>
      </c>
      <c r="E72" s="551"/>
    </row>
    <row r="73" spans="2:5" s="2" customFormat="1" outlineLevel="1">
      <c r="B73" s="560" t="s">
        <v>2187</v>
      </c>
      <c r="C73" s="532">
        <v>2792</v>
      </c>
      <c r="E73" s="551"/>
    </row>
    <row r="74" spans="2:5" s="2" customFormat="1" outlineLevel="1">
      <c r="B74" s="563" t="s">
        <v>2188</v>
      </c>
      <c r="C74" s="532">
        <v>2792</v>
      </c>
      <c r="E74" s="551"/>
    </row>
    <row r="75" spans="2:5" s="2" customFormat="1" outlineLevel="1">
      <c r="B75" s="560" t="s">
        <v>2189</v>
      </c>
      <c r="C75" s="532">
        <v>3222</v>
      </c>
      <c r="E75" s="551"/>
    </row>
    <row r="76" spans="2:5" s="2" customFormat="1" outlineLevel="1">
      <c r="B76" s="563" t="s">
        <v>2190</v>
      </c>
      <c r="C76" s="532">
        <v>4080</v>
      </c>
      <c r="E76" s="551"/>
    </row>
    <row r="77" spans="2:5" s="2" customFormat="1" outlineLevel="1">
      <c r="B77" s="560" t="s">
        <v>2191</v>
      </c>
      <c r="C77" s="532">
        <v>5367</v>
      </c>
      <c r="E77" s="551"/>
    </row>
    <row r="78" spans="2:5" s="2" customFormat="1" outlineLevel="1">
      <c r="B78" s="563" t="s">
        <v>2192</v>
      </c>
      <c r="C78" s="532">
        <v>5900</v>
      </c>
      <c r="E78" s="551"/>
    </row>
    <row r="79" spans="2:5" s="2" customFormat="1" outlineLevel="1">
      <c r="B79" s="560" t="s">
        <v>2193</v>
      </c>
      <c r="C79" s="532">
        <v>6543</v>
      </c>
      <c r="E79" s="551"/>
    </row>
    <row r="80" spans="2:5" s="2" customFormat="1" outlineLevel="1">
      <c r="B80" s="563" t="s">
        <v>2194</v>
      </c>
      <c r="C80" s="532">
        <v>1935</v>
      </c>
      <c r="E80" s="551"/>
    </row>
    <row r="81" spans="2:5" s="2" customFormat="1" outlineLevel="1">
      <c r="B81" s="560" t="s">
        <v>2195</v>
      </c>
      <c r="C81" s="532">
        <v>3222</v>
      </c>
      <c r="E81" s="551"/>
    </row>
    <row r="82" spans="2:5" s="2" customFormat="1" outlineLevel="1">
      <c r="B82" s="563" t="s">
        <v>2196</v>
      </c>
      <c r="C82" s="532">
        <v>3222</v>
      </c>
      <c r="E82" s="551"/>
    </row>
    <row r="83" spans="2:5" s="2" customFormat="1" outlineLevel="1">
      <c r="B83" s="560" t="s">
        <v>2197</v>
      </c>
      <c r="C83" s="532">
        <v>3327</v>
      </c>
      <c r="E83" s="551"/>
    </row>
    <row r="84" spans="2:5" s="2" customFormat="1" outlineLevel="1">
      <c r="B84" s="563" t="s">
        <v>2198</v>
      </c>
      <c r="C84" s="532">
        <v>3865</v>
      </c>
      <c r="E84" s="551"/>
    </row>
    <row r="85" spans="2:5" s="2" customFormat="1" outlineLevel="1">
      <c r="B85" s="560" t="s">
        <v>2199</v>
      </c>
      <c r="C85" s="532">
        <v>4937</v>
      </c>
      <c r="E85" s="551"/>
    </row>
    <row r="86" spans="2:5" s="2" customFormat="1" outlineLevel="1">
      <c r="B86" s="563" t="s">
        <v>2200</v>
      </c>
      <c r="C86" s="532">
        <v>6543</v>
      </c>
      <c r="E86" s="551"/>
    </row>
    <row r="87" spans="2:5" s="2" customFormat="1" outlineLevel="1">
      <c r="B87" s="560" t="s">
        <v>2201</v>
      </c>
      <c r="C87" s="532">
        <v>7293</v>
      </c>
      <c r="E87" s="551"/>
    </row>
    <row r="88" spans="2:5" s="2" customFormat="1" outlineLevel="1">
      <c r="B88" s="563" t="s">
        <v>2202</v>
      </c>
      <c r="C88" s="532">
        <v>8043</v>
      </c>
      <c r="E88" s="551"/>
    </row>
    <row r="89" spans="2:5" s="2" customFormat="1" outlineLevel="1">
      <c r="B89" s="560" t="s">
        <v>2203</v>
      </c>
      <c r="C89" s="532">
        <v>2579</v>
      </c>
      <c r="E89" s="551"/>
    </row>
    <row r="90" spans="2:5" s="2" customFormat="1" outlineLevel="1">
      <c r="B90" s="563" t="s">
        <v>2204</v>
      </c>
      <c r="C90" s="532">
        <v>3327</v>
      </c>
      <c r="E90" s="551"/>
    </row>
    <row r="91" spans="2:5" s="2" customFormat="1" outlineLevel="1">
      <c r="B91" s="560" t="s">
        <v>2205</v>
      </c>
      <c r="C91" s="532">
        <v>3755</v>
      </c>
      <c r="E91" s="551"/>
    </row>
    <row r="92" spans="2:5" s="2" customFormat="1" outlineLevel="1">
      <c r="B92" s="563" t="s">
        <v>2206</v>
      </c>
      <c r="C92" s="532">
        <v>4400</v>
      </c>
      <c r="E92" s="551"/>
    </row>
    <row r="93" spans="2:5" s="2" customFormat="1" outlineLevel="1">
      <c r="B93" s="560" t="s">
        <v>2207</v>
      </c>
      <c r="C93" s="532">
        <v>5257</v>
      </c>
      <c r="E93" s="551"/>
    </row>
    <row r="94" spans="2:5" s="2" customFormat="1" outlineLevel="1">
      <c r="B94" s="563" t="s">
        <v>2208</v>
      </c>
      <c r="C94" s="532">
        <v>6650</v>
      </c>
      <c r="E94" s="551"/>
    </row>
    <row r="95" spans="2:5" s="2" customFormat="1" outlineLevel="1">
      <c r="B95" s="560" t="s">
        <v>2209</v>
      </c>
      <c r="C95" s="532">
        <v>8793</v>
      </c>
      <c r="E95" s="551"/>
    </row>
    <row r="96" spans="2:5" s="2" customFormat="1" outlineLevel="1">
      <c r="B96" s="563" t="s">
        <v>2210</v>
      </c>
      <c r="C96" s="532">
        <v>9863</v>
      </c>
      <c r="E96" s="551"/>
    </row>
    <row r="97" spans="2:5" s="2" customFormat="1" outlineLevel="1">
      <c r="B97" s="560" t="s">
        <v>2211</v>
      </c>
      <c r="C97" s="532">
        <v>10828</v>
      </c>
      <c r="E97" s="551"/>
    </row>
    <row r="98" spans="2:5" ht="60" customHeight="1">
      <c r="B98" s="468" t="s">
        <v>559</v>
      </c>
      <c r="C98" s="467"/>
      <c r="E98" s="551"/>
    </row>
    <row r="99" spans="2:5" s="225" customFormat="1" outlineLevel="1">
      <c r="B99" s="563" t="s">
        <v>2212</v>
      </c>
      <c r="C99" s="532">
        <v>25221</v>
      </c>
      <c r="E99" s="551"/>
    </row>
    <row r="100" spans="2:5" s="225" customFormat="1" outlineLevel="1">
      <c r="B100" s="560" t="s">
        <v>2213</v>
      </c>
      <c r="C100" s="532">
        <v>27720</v>
      </c>
      <c r="E100" s="551"/>
    </row>
    <row r="101" spans="2:5" s="2" customFormat="1" outlineLevel="1">
      <c r="B101" s="563" t="s">
        <v>2214</v>
      </c>
      <c r="C101" s="532">
        <v>30355</v>
      </c>
      <c r="E101" s="551"/>
    </row>
    <row r="102" spans="2:5" s="2" customFormat="1" outlineLevel="1">
      <c r="B102" s="560" t="s">
        <v>2215</v>
      </c>
      <c r="C102" s="532">
        <v>33069</v>
      </c>
      <c r="E102" s="551"/>
    </row>
    <row r="103" spans="2:5" s="2" customFormat="1" outlineLevel="1">
      <c r="B103" s="563" t="s">
        <v>2216</v>
      </c>
      <c r="C103" s="532">
        <v>35937</v>
      </c>
      <c r="E103" s="551"/>
    </row>
    <row r="104" spans="2:5" s="2" customFormat="1" outlineLevel="1">
      <c r="B104" s="560" t="s">
        <v>2217</v>
      </c>
      <c r="C104" s="532">
        <v>41297</v>
      </c>
      <c r="E104" s="551"/>
    </row>
    <row r="105" spans="2:5" s="2" customFormat="1" outlineLevel="1">
      <c r="B105" s="563" t="s">
        <v>2218</v>
      </c>
      <c r="C105" s="532">
        <v>45912</v>
      </c>
      <c r="E105" s="551"/>
    </row>
    <row r="106" spans="2:5" outlineLevel="1">
      <c r="B106" s="560" t="s">
        <v>2219</v>
      </c>
      <c r="C106" s="532">
        <v>49539</v>
      </c>
      <c r="E106" s="551"/>
    </row>
    <row r="107" spans="2:5" s="2" customFormat="1" outlineLevel="1">
      <c r="B107" s="563" t="s">
        <v>2220</v>
      </c>
      <c r="C107" s="532">
        <v>56367</v>
      </c>
      <c r="E107" s="551"/>
    </row>
    <row r="108" spans="2:5" s="2" customFormat="1" outlineLevel="1">
      <c r="B108" s="560" t="s">
        <v>2221</v>
      </c>
      <c r="C108" s="532">
        <v>68137</v>
      </c>
      <c r="E108" s="551"/>
    </row>
    <row r="109" spans="2:5" ht="60" customHeight="1" outlineLevel="1">
      <c r="B109" s="468" t="s">
        <v>565</v>
      </c>
      <c r="C109" s="467"/>
      <c r="E109" s="551"/>
    </row>
    <row r="110" spans="2:5" s="225" customFormat="1" outlineLevel="1">
      <c r="B110" s="563" t="s">
        <v>2222</v>
      </c>
      <c r="C110" s="532">
        <v>4757</v>
      </c>
      <c r="E110" s="551"/>
    </row>
    <row r="111" spans="2:5" s="225" customFormat="1" outlineLevel="1">
      <c r="B111" s="560" t="s">
        <v>2223</v>
      </c>
      <c r="C111" s="532">
        <v>5703</v>
      </c>
      <c r="E111" s="551"/>
    </row>
    <row r="112" spans="2:5" s="2" customFormat="1" outlineLevel="1">
      <c r="B112" s="563" t="s">
        <v>2224</v>
      </c>
      <c r="C112" s="532">
        <v>6771</v>
      </c>
      <c r="E112" s="551"/>
    </row>
    <row r="113" spans="2:5" s="2" customFormat="1" outlineLevel="1">
      <c r="B113" s="560" t="s">
        <v>2225</v>
      </c>
      <c r="C113" s="532">
        <v>7958</v>
      </c>
      <c r="E113" s="551"/>
    </row>
    <row r="114" spans="2:5" s="2" customFormat="1" outlineLevel="1">
      <c r="B114" s="563" t="s">
        <v>2226</v>
      </c>
      <c r="C114" s="532">
        <v>9264</v>
      </c>
      <c r="E114" s="551"/>
    </row>
    <row r="115" spans="2:5" s="2" customFormat="1" outlineLevel="1">
      <c r="B115" s="560" t="s">
        <v>2227</v>
      </c>
      <c r="C115" s="532">
        <v>12111</v>
      </c>
      <c r="E115" s="551"/>
    </row>
    <row r="116" spans="2:5" s="2" customFormat="1" outlineLevel="1">
      <c r="B116" s="563" t="s">
        <v>2228</v>
      </c>
      <c r="C116" s="532">
        <v>14212</v>
      </c>
      <c r="E116" s="551"/>
    </row>
    <row r="117" spans="2:5" outlineLevel="1">
      <c r="B117" s="560" t="s">
        <v>2229</v>
      </c>
      <c r="C117" s="532">
        <v>16257</v>
      </c>
      <c r="E117" s="551"/>
    </row>
    <row r="118" spans="2:5" s="2" customFormat="1" outlineLevel="1">
      <c r="B118" s="563" t="s">
        <v>2230</v>
      </c>
      <c r="C118" s="532">
        <v>19966</v>
      </c>
      <c r="E118" s="551"/>
    </row>
    <row r="119" spans="2:5" s="2" customFormat="1" outlineLevel="1">
      <c r="B119" s="560" t="s">
        <v>2231</v>
      </c>
      <c r="C119" s="532">
        <v>27087</v>
      </c>
      <c r="E119" s="551"/>
    </row>
  </sheetData>
  <sheetProtection selectLockedCells="1" selectUnlockedCells="1"/>
  <customSheetViews>
    <customSheetView guid="{0C99ABE2-728B-4C30-A993-CD651C64FAAE}" showGridLines="0" printArea="1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2BA56ECA-30F6-456D-AB26-04DD1698A098}" showGridLines="0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hyperlinks>
    <hyperlink ref="B11:B16" r:id="rId3" display="Фильтр-кассета LV-KDCS 100-3 E16"/>
    <hyperlink ref="B18:B23" r:id="rId4" display="Фильтр-вставка LV-JK 100-3 E16"/>
    <hyperlink ref="B25:B60" r:id="rId5" display="Фильтр-кассета LV-KDTK 400x200-4 E16"/>
    <hyperlink ref="B62:B97" r:id="rId6" display="Вставка фильтрационная LV-JK 400x200-4 E16"/>
    <hyperlink ref="B99:B108" r:id="rId7" display="Фильтр-кассета LV-KDTG 250 E16"/>
    <hyperlink ref="B110:B119" r:id="rId8" display="Фильтр-вставка LV-JKG 250 E16"/>
  </hyperlink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9"/>
  <drawing r:id="rId1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outlinePr summaryBelow="0" summaryRight="0"/>
  </sheetPr>
  <dimension ref="B6:E65"/>
  <sheetViews>
    <sheetView showGridLines="0" zoomScaleNormal="100" zoomScaleSheetLayoutView="100" zoomScalePageLayoutView="55" workbookViewId="0">
      <selection activeCell="F61" sqref="F61"/>
    </sheetView>
  </sheetViews>
  <sheetFormatPr defaultColWidth="9.109375" defaultRowHeight="14.4" outlineLevelRow="1"/>
  <cols>
    <col min="1" max="1" width="2.88671875" style="3" customWidth="1"/>
    <col min="2" max="2" width="59.6640625" style="3" customWidth="1"/>
    <col min="3" max="3" width="17.6640625" style="3" customWidth="1"/>
    <col min="4" max="16384" width="9.109375" style="3"/>
  </cols>
  <sheetData>
    <row r="6" spans="2:5" ht="20.100000000000001" customHeight="1">
      <c r="B6" s="4"/>
      <c r="C6" s="4"/>
    </row>
    <row r="7" spans="2:5" ht="15" customHeight="1">
      <c r="B7" s="4"/>
      <c r="C7" s="4"/>
    </row>
    <row r="8" spans="2:5" ht="18" customHeight="1">
      <c r="B8" s="530" t="s">
        <v>560</v>
      </c>
      <c r="C8" s="555"/>
    </row>
    <row r="9" spans="2:5" s="385" customFormat="1" ht="15" customHeight="1">
      <c r="B9" s="470"/>
      <c r="C9" s="386"/>
    </row>
    <row r="10" spans="2:5" ht="30" customHeight="1">
      <c r="B10" s="540" t="s">
        <v>166</v>
      </c>
      <c r="C10" s="546" t="s">
        <v>2249</v>
      </c>
    </row>
    <row r="11" spans="2:5" ht="60" customHeight="1">
      <c r="B11" s="468" t="s">
        <v>1898</v>
      </c>
      <c r="C11" s="467"/>
    </row>
    <row r="12" spans="2:5" outlineLevel="1">
      <c r="B12" s="560" t="s">
        <v>2232</v>
      </c>
      <c r="C12" s="532">
        <v>917</v>
      </c>
      <c r="E12" s="551"/>
    </row>
    <row r="13" spans="2:5" outlineLevel="1">
      <c r="B13" s="560" t="s">
        <v>2233</v>
      </c>
      <c r="C13" s="532">
        <v>1031</v>
      </c>
      <c r="E13" s="551"/>
    </row>
    <row r="14" spans="2:5" outlineLevel="1">
      <c r="B14" s="560" t="s">
        <v>2234</v>
      </c>
      <c r="C14" s="532">
        <v>1374</v>
      </c>
      <c r="E14" s="551"/>
    </row>
    <row r="15" spans="2:5" outlineLevel="1">
      <c r="B15" s="560" t="s">
        <v>2235</v>
      </c>
      <c r="C15" s="532">
        <v>1486</v>
      </c>
      <c r="E15" s="551"/>
    </row>
    <row r="16" spans="2:5" outlineLevel="1">
      <c r="B16" s="560" t="s">
        <v>2236</v>
      </c>
      <c r="C16" s="532">
        <v>2170</v>
      </c>
      <c r="E16" s="551"/>
    </row>
    <row r="17" spans="2:5" outlineLevel="1">
      <c r="B17" s="560" t="s">
        <v>2237</v>
      </c>
      <c r="C17" s="532">
        <v>2735</v>
      </c>
      <c r="E17" s="551"/>
    </row>
    <row r="18" spans="2:5" ht="60" customHeight="1">
      <c r="B18" s="468" t="s">
        <v>561</v>
      </c>
      <c r="C18" s="467"/>
      <c r="E18" s="551"/>
    </row>
    <row r="19" spans="2:5" s="2" customFormat="1" outlineLevel="1">
      <c r="B19" s="560" t="s">
        <v>847</v>
      </c>
      <c r="C19" s="532">
        <v>1589</v>
      </c>
      <c r="E19" s="551"/>
    </row>
    <row r="20" spans="2:5" s="2" customFormat="1" outlineLevel="1">
      <c r="B20" s="560" t="s">
        <v>848</v>
      </c>
      <c r="C20" s="532">
        <v>1692</v>
      </c>
      <c r="E20" s="551"/>
    </row>
    <row r="21" spans="2:5" s="2" customFormat="1" outlineLevel="1">
      <c r="B21" s="560" t="s">
        <v>849</v>
      </c>
      <c r="C21" s="532">
        <v>1786</v>
      </c>
      <c r="E21" s="551"/>
    </row>
    <row r="22" spans="2:5" s="2" customFormat="1" outlineLevel="1">
      <c r="B22" s="560" t="s">
        <v>850</v>
      </c>
      <c r="C22" s="532">
        <v>2086</v>
      </c>
      <c r="E22" s="551"/>
    </row>
    <row r="23" spans="2:5" s="2" customFormat="1" outlineLevel="1">
      <c r="B23" s="560" t="s">
        <v>851</v>
      </c>
      <c r="C23" s="532">
        <v>2481</v>
      </c>
      <c r="E23" s="551"/>
    </row>
    <row r="24" spans="2:5" s="2" customFormat="1" outlineLevel="1">
      <c r="B24" s="560" t="s">
        <v>852</v>
      </c>
      <c r="C24" s="532">
        <v>2881</v>
      </c>
      <c r="E24" s="551"/>
    </row>
    <row r="25" spans="2:5" ht="60" customHeight="1">
      <c r="B25" s="468" t="s">
        <v>544</v>
      </c>
      <c r="C25" s="467"/>
      <c r="E25" s="551"/>
    </row>
    <row r="26" spans="2:5" s="2" customFormat="1" outlineLevel="1">
      <c r="B26" s="560" t="s">
        <v>853</v>
      </c>
      <c r="C26" s="532">
        <v>3988</v>
      </c>
      <c r="E26" s="551"/>
    </row>
    <row r="27" spans="2:5" s="2" customFormat="1" outlineLevel="1">
      <c r="B27" s="560" t="s">
        <v>855</v>
      </c>
      <c r="C27" s="532">
        <v>5811</v>
      </c>
      <c r="E27" s="551"/>
    </row>
    <row r="28" spans="2:5" s="2" customFormat="1" outlineLevel="1">
      <c r="B28" s="560" t="s">
        <v>857</v>
      </c>
      <c r="C28" s="532">
        <v>6149</v>
      </c>
      <c r="E28" s="551"/>
    </row>
    <row r="29" spans="2:5" s="2" customFormat="1" outlineLevel="1">
      <c r="B29" s="560" t="s">
        <v>859</v>
      </c>
      <c r="C29" s="532">
        <v>6833</v>
      </c>
      <c r="E29" s="551"/>
    </row>
    <row r="30" spans="2:5" s="2" customFormat="1" outlineLevel="1">
      <c r="B30" s="560" t="s">
        <v>861</v>
      </c>
      <c r="C30" s="532">
        <v>8200</v>
      </c>
      <c r="E30" s="551"/>
    </row>
    <row r="31" spans="2:5" s="2" customFormat="1" outlineLevel="1">
      <c r="B31" s="560" t="s">
        <v>863</v>
      </c>
      <c r="C31" s="532">
        <v>9451</v>
      </c>
      <c r="E31" s="551"/>
    </row>
    <row r="32" spans="2:5" s="2" customFormat="1" outlineLevel="1">
      <c r="B32" s="560" t="s">
        <v>865</v>
      </c>
      <c r="C32" s="532">
        <v>12522</v>
      </c>
      <c r="E32" s="551"/>
    </row>
    <row r="33" spans="2:5" s="2" customFormat="1" outlineLevel="1">
      <c r="B33" s="560" t="s">
        <v>867</v>
      </c>
      <c r="C33" s="532">
        <v>15024</v>
      </c>
      <c r="E33" s="551"/>
    </row>
    <row r="34" spans="2:5" s="2" customFormat="1" outlineLevel="1">
      <c r="B34" s="560" t="s">
        <v>869</v>
      </c>
      <c r="C34" s="532">
        <v>16504</v>
      </c>
      <c r="E34" s="551"/>
    </row>
    <row r="35" spans="2:5" ht="60" customHeight="1">
      <c r="B35" s="468" t="s">
        <v>1899</v>
      </c>
      <c r="C35" s="467"/>
      <c r="E35" s="551"/>
    </row>
    <row r="36" spans="2:5" s="2" customFormat="1" outlineLevel="1">
      <c r="B36" s="560" t="s">
        <v>854</v>
      </c>
      <c r="C36" s="532">
        <v>10037</v>
      </c>
      <c r="E36" s="551"/>
    </row>
    <row r="37" spans="2:5" s="2" customFormat="1" outlineLevel="1">
      <c r="B37" s="560" t="s">
        <v>856</v>
      </c>
      <c r="C37" s="532">
        <v>12481</v>
      </c>
      <c r="E37" s="551"/>
    </row>
    <row r="38" spans="2:5" s="2" customFormat="1" outlineLevel="1">
      <c r="B38" s="560" t="s">
        <v>858</v>
      </c>
      <c r="C38" s="532">
        <v>15415</v>
      </c>
      <c r="E38" s="551"/>
    </row>
    <row r="39" spans="2:5" s="2" customFormat="1" outlineLevel="1">
      <c r="B39" s="560" t="s">
        <v>860</v>
      </c>
      <c r="C39" s="532">
        <v>17130</v>
      </c>
      <c r="E39" s="551"/>
    </row>
    <row r="40" spans="2:5" s="2" customFormat="1" outlineLevel="1">
      <c r="B40" s="560" t="s">
        <v>862</v>
      </c>
      <c r="C40" s="532">
        <v>18720</v>
      </c>
      <c r="E40" s="551"/>
    </row>
    <row r="41" spans="2:5" s="2" customFormat="1" outlineLevel="1">
      <c r="B41" s="560" t="s">
        <v>864</v>
      </c>
      <c r="C41" s="532">
        <v>21288</v>
      </c>
      <c r="E41" s="551"/>
    </row>
    <row r="42" spans="2:5" s="2" customFormat="1" outlineLevel="1">
      <c r="B42" s="560" t="s">
        <v>866</v>
      </c>
      <c r="C42" s="532">
        <v>25811</v>
      </c>
      <c r="E42" s="551"/>
    </row>
    <row r="43" spans="2:5" s="2" customFormat="1" outlineLevel="1">
      <c r="B43" s="560" t="s">
        <v>868</v>
      </c>
      <c r="C43" s="532">
        <v>27892</v>
      </c>
      <c r="E43" s="551"/>
    </row>
    <row r="44" spans="2:5" s="2" customFormat="1" outlineLevel="1">
      <c r="B44" s="560" t="s">
        <v>870</v>
      </c>
      <c r="C44" s="532">
        <v>30213</v>
      </c>
      <c r="E44" s="551"/>
    </row>
    <row r="45" spans="2:5" ht="60" customHeight="1">
      <c r="B45" s="468" t="s">
        <v>1900</v>
      </c>
      <c r="C45" s="467"/>
      <c r="E45" s="551"/>
    </row>
    <row r="46" spans="2:5" s="549" customFormat="1" outlineLevel="1">
      <c r="B46" s="560" t="s">
        <v>2238</v>
      </c>
      <c r="C46" s="532">
        <v>31071</v>
      </c>
      <c r="E46" s="551"/>
    </row>
    <row r="47" spans="2:5" s="549" customFormat="1" outlineLevel="1">
      <c r="B47" s="560" t="s">
        <v>2239</v>
      </c>
      <c r="C47" s="532">
        <v>37062</v>
      </c>
      <c r="E47" s="551"/>
    </row>
    <row r="48" spans="2:5" s="549" customFormat="1" outlineLevel="1">
      <c r="B48" s="560" t="s">
        <v>2240</v>
      </c>
      <c r="C48" s="532">
        <v>45013</v>
      </c>
      <c r="E48" s="551"/>
    </row>
    <row r="49" spans="2:5" s="549" customFormat="1" outlineLevel="1">
      <c r="B49" s="560" t="s">
        <v>2241</v>
      </c>
      <c r="C49" s="532">
        <v>49536</v>
      </c>
      <c r="E49" s="551"/>
    </row>
    <row r="50" spans="2:5" s="549" customFormat="1" outlineLevel="1">
      <c r="B50" s="560" t="s">
        <v>2242</v>
      </c>
      <c r="C50" s="532">
        <v>52230</v>
      </c>
      <c r="E50" s="551"/>
    </row>
    <row r="51" spans="2:5" s="549" customFormat="1" outlineLevel="1">
      <c r="B51" s="560" t="s">
        <v>2243</v>
      </c>
      <c r="C51" s="532">
        <v>63481</v>
      </c>
      <c r="E51" s="551"/>
    </row>
    <row r="52" spans="2:5" s="549" customFormat="1" outlineLevel="1">
      <c r="B52" s="560" t="s">
        <v>2244</v>
      </c>
      <c r="C52" s="532">
        <v>79992</v>
      </c>
      <c r="E52" s="551"/>
    </row>
    <row r="53" spans="2:5" s="549" customFormat="1" outlineLevel="1">
      <c r="B53" s="560" t="s">
        <v>2245</v>
      </c>
      <c r="C53" s="532">
        <v>93200</v>
      </c>
      <c r="E53" s="551"/>
    </row>
    <row r="54" spans="2:5" s="549" customFormat="1" outlineLevel="1">
      <c r="B54" s="560" t="s">
        <v>2246</v>
      </c>
      <c r="C54" s="532">
        <v>102373</v>
      </c>
      <c r="E54" s="551"/>
    </row>
    <row r="55" spans="2:5" ht="60" customHeight="1">
      <c r="B55" s="468" t="s">
        <v>562</v>
      </c>
      <c r="C55" s="467"/>
      <c r="E55" s="551"/>
    </row>
    <row r="56" spans="2:5" s="2" customFormat="1" outlineLevel="1">
      <c r="B56" s="560" t="s">
        <v>902</v>
      </c>
      <c r="C56" s="532">
        <v>6181</v>
      </c>
      <c r="E56" s="551"/>
    </row>
    <row r="57" spans="2:5" s="2" customFormat="1" outlineLevel="1">
      <c r="B57" s="560" t="s">
        <v>903</v>
      </c>
      <c r="C57" s="532">
        <v>6968</v>
      </c>
      <c r="E57" s="551"/>
    </row>
    <row r="58" spans="2:5" s="2" customFormat="1" outlineLevel="1">
      <c r="B58" s="560" t="s">
        <v>2247</v>
      </c>
      <c r="C58" s="532">
        <v>8541</v>
      </c>
      <c r="E58" s="551"/>
    </row>
    <row r="59" spans="2:5" s="2" customFormat="1" outlineLevel="1">
      <c r="B59" s="560" t="s">
        <v>905</v>
      </c>
      <c r="C59" s="532">
        <v>9428</v>
      </c>
      <c r="E59" s="551"/>
    </row>
    <row r="60" spans="2:5" s="2" customFormat="1" outlineLevel="1">
      <c r="B60" s="560" t="s">
        <v>906</v>
      </c>
      <c r="C60" s="532">
        <v>11208</v>
      </c>
      <c r="E60" s="551"/>
    </row>
    <row r="61" spans="2:5" s="2" customFormat="1" outlineLevel="1">
      <c r="B61" s="560" t="s">
        <v>907</v>
      </c>
      <c r="C61" s="532">
        <v>13764</v>
      </c>
      <c r="E61" s="551"/>
    </row>
    <row r="62" spans="2:5" s="2" customFormat="1" outlineLevel="1">
      <c r="B62" s="560" t="s">
        <v>908</v>
      </c>
      <c r="C62" s="532">
        <v>15312</v>
      </c>
      <c r="E62" s="551"/>
    </row>
    <row r="63" spans="2:5" s="2" customFormat="1" outlineLevel="1">
      <c r="B63" s="560" t="s">
        <v>909</v>
      </c>
      <c r="C63" s="532">
        <v>17510</v>
      </c>
      <c r="E63" s="551"/>
    </row>
    <row r="64" spans="2:5" s="2" customFormat="1" outlineLevel="1">
      <c r="B64" s="560" t="s">
        <v>910</v>
      </c>
      <c r="C64" s="532">
        <v>21137</v>
      </c>
      <c r="E64" s="551"/>
    </row>
    <row r="65" spans="2:5" s="2" customFormat="1" outlineLevel="1">
      <c r="B65" s="560" t="s">
        <v>911</v>
      </c>
      <c r="C65" s="532">
        <v>26531</v>
      </c>
      <c r="E65" s="551"/>
    </row>
  </sheetData>
  <sheetProtection selectLockedCells="1" selectUnlockedCells="1"/>
  <customSheetViews>
    <customSheetView guid="{0C99ABE2-728B-4C30-A993-CD651C64FAAE}" showGridLines="0" printArea="1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2BA56ECA-30F6-456D-AB26-04DD1698A098}" showGridLines="0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hyperlinks>
    <hyperlink ref="B12:B17" r:id="rId3" display="Клапан обратный LV-TDC 100 E16"/>
    <hyperlink ref="B19:B24" r:id="rId4" display="Заслонка воздушная LV-BDCM 100H E16"/>
    <hyperlink ref="B26:B34" r:id="rId5" display="Заслонка воздушная LV-BDTM 400x200 E16"/>
    <hyperlink ref="B36:B44" r:id="rId6" display="Заслонка воздушная LV-BDTM 400x200-W E16"/>
    <hyperlink ref="B46:B54" r:id="rId7" display="Заслонка воздушная LV-BDTM 400x200-N E16"/>
    <hyperlink ref="B56:B65" r:id="rId8" display="Заслонка воздушная LV-BDQM 250 E16"/>
  </hyperlink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9"/>
  <drawing r:id="rId1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outlinePr summaryBelow="0" summaryRight="0"/>
  </sheetPr>
  <dimension ref="B6:E44"/>
  <sheetViews>
    <sheetView showGridLines="0" zoomScaleNormal="100" zoomScaleSheetLayoutView="100" zoomScalePageLayoutView="55" workbookViewId="0">
      <selection activeCell="E43" sqref="E43"/>
    </sheetView>
  </sheetViews>
  <sheetFormatPr defaultColWidth="9.109375" defaultRowHeight="14.4" outlineLevelRow="1"/>
  <cols>
    <col min="1" max="1" width="2.88671875" style="3" customWidth="1"/>
    <col min="2" max="2" width="59.6640625" style="3" customWidth="1"/>
    <col min="3" max="3" width="16.5546875" style="3" customWidth="1"/>
    <col min="4" max="16384" width="9.109375" style="3"/>
  </cols>
  <sheetData>
    <row r="6" spans="2:5" ht="20.100000000000001" customHeight="1">
      <c r="B6" s="4"/>
      <c r="C6" s="4"/>
    </row>
    <row r="7" spans="2:5" ht="15" customHeight="1">
      <c r="B7" s="4"/>
      <c r="C7" s="4"/>
    </row>
    <row r="8" spans="2:5" ht="18" customHeight="1">
      <c r="B8" s="530" t="s">
        <v>563</v>
      </c>
      <c r="C8" s="555"/>
    </row>
    <row r="9" spans="2:5" s="385" customFormat="1" ht="15" customHeight="1">
      <c r="B9" s="470"/>
      <c r="C9" s="386"/>
    </row>
    <row r="10" spans="2:5" ht="30" customHeight="1">
      <c r="B10" s="540" t="s">
        <v>166</v>
      </c>
      <c r="C10" s="546" t="s">
        <v>2249</v>
      </c>
    </row>
    <row r="11" spans="2:5" ht="60" customHeight="1">
      <c r="B11" s="468" t="s">
        <v>564</v>
      </c>
      <c r="C11" s="467"/>
    </row>
    <row r="12" spans="2:5" outlineLevel="1">
      <c r="B12" s="560" t="s">
        <v>809</v>
      </c>
      <c r="C12" s="532">
        <v>5312</v>
      </c>
      <c r="E12" s="551"/>
    </row>
    <row r="13" spans="2:5" outlineLevel="1">
      <c r="B13" s="560" t="s">
        <v>811</v>
      </c>
      <c r="C13" s="532">
        <v>6746</v>
      </c>
      <c r="E13" s="551"/>
    </row>
    <row r="14" spans="2:5" outlineLevel="1">
      <c r="B14" s="560" t="s">
        <v>813</v>
      </c>
      <c r="C14" s="532">
        <v>7213</v>
      </c>
      <c r="E14" s="551"/>
    </row>
    <row r="15" spans="2:5" outlineLevel="1">
      <c r="B15" s="560" t="s">
        <v>815</v>
      </c>
      <c r="C15" s="532">
        <v>7393</v>
      </c>
      <c r="E15" s="551"/>
    </row>
    <row r="16" spans="2:5" outlineLevel="1">
      <c r="B16" s="560" t="s">
        <v>817</v>
      </c>
      <c r="C16" s="532">
        <v>9895</v>
      </c>
      <c r="E16" s="551"/>
    </row>
    <row r="17" spans="2:5" outlineLevel="1">
      <c r="B17" s="560" t="s">
        <v>819</v>
      </c>
      <c r="C17" s="532">
        <v>12520</v>
      </c>
      <c r="E17" s="551"/>
    </row>
    <row r="18" spans="2:5" outlineLevel="1">
      <c r="B18" s="560" t="s">
        <v>810</v>
      </c>
      <c r="C18" s="532">
        <v>6257</v>
      </c>
      <c r="E18" s="551"/>
    </row>
    <row r="19" spans="2:5" outlineLevel="1">
      <c r="B19" s="560" t="s">
        <v>812</v>
      </c>
      <c r="C19" s="532">
        <v>7327</v>
      </c>
      <c r="E19" s="551"/>
    </row>
    <row r="20" spans="2:5" outlineLevel="1">
      <c r="B20" s="560" t="s">
        <v>814</v>
      </c>
      <c r="C20" s="532">
        <v>7894</v>
      </c>
      <c r="E20" s="551"/>
    </row>
    <row r="21" spans="2:5" outlineLevel="1">
      <c r="B21" s="560" t="s">
        <v>816</v>
      </c>
      <c r="C21" s="532">
        <v>9065</v>
      </c>
      <c r="E21" s="551"/>
    </row>
    <row r="22" spans="2:5" outlineLevel="1">
      <c r="B22" s="560" t="s">
        <v>818</v>
      </c>
      <c r="C22" s="532">
        <v>11987</v>
      </c>
      <c r="E22" s="551"/>
    </row>
    <row r="23" spans="2:5" outlineLevel="1">
      <c r="B23" s="560" t="s">
        <v>820</v>
      </c>
      <c r="C23" s="532">
        <v>15863</v>
      </c>
      <c r="E23" s="551"/>
    </row>
    <row r="24" spans="2:5" ht="60" customHeight="1">
      <c r="B24" s="468" t="s">
        <v>544</v>
      </c>
      <c r="C24" s="467"/>
      <c r="E24" s="551"/>
    </row>
    <row r="25" spans="2:5" s="2" customFormat="1" outlineLevel="1">
      <c r="B25" s="563" t="s">
        <v>821</v>
      </c>
      <c r="C25" s="532">
        <v>9223</v>
      </c>
      <c r="E25" s="551"/>
    </row>
    <row r="26" spans="2:5" s="2" customFormat="1" outlineLevel="1">
      <c r="B26" s="560" t="s">
        <v>822</v>
      </c>
      <c r="C26" s="532">
        <v>10245</v>
      </c>
      <c r="E26" s="551"/>
    </row>
    <row r="27" spans="2:5" s="2" customFormat="1" outlineLevel="1">
      <c r="B27" s="563" t="s">
        <v>823</v>
      </c>
      <c r="C27" s="532">
        <v>11041</v>
      </c>
      <c r="E27" s="551"/>
    </row>
    <row r="28" spans="2:5" s="2" customFormat="1" outlineLevel="1">
      <c r="B28" s="560" t="s">
        <v>824</v>
      </c>
      <c r="C28" s="532">
        <v>12177</v>
      </c>
      <c r="E28" s="551"/>
    </row>
    <row r="29" spans="2:5" s="2" customFormat="1" outlineLevel="1">
      <c r="B29" s="563" t="s">
        <v>825</v>
      </c>
      <c r="C29" s="532">
        <v>12408</v>
      </c>
      <c r="E29" s="551"/>
    </row>
    <row r="30" spans="2:5" s="2" customFormat="1" outlineLevel="1">
      <c r="B30" s="560" t="s">
        <v>826</v>
      </c>
      <c r="C30" s="532">
        <v>15591</v>
      </c>
      <c r="E30" s="551"/>
    </row>
    <row r="31" spans="2:5" s="2" customFormat="1" outlineLevel="1">
      <c r="B31" s="563" t="s">
        <v>827</v>
      </c>
      <c r="C31" s="532">
        <v>18683</v>
      </c>
      <c r="E31" s="551"/>
    </row>
    <row r="32" spans="2:5" s="2" customFormat="1" outlineLevel="1">
      <c r="B32" s="560" t="s">
        <v>828</v>
      </c>
      <c r="C32" s="532">
        <v>22927</v>
      </c>
      <c r="E32" s="551"/>
    </row>
    <row r="33" spans="2:5" s="2" customFormat="1" outlineLevel="1">
      <c r="B33" s="563" t="s">
        <v>829</v>
      </c>
      <c r="C33" s="532">
        <v>23417</v>
      </c>
      <c r="E33" s="551"/>
    </row>
    <row r="34" spans="2:5" ht="60" customHeight="1">
      <c r="B34" s="468" t="s">
        <v>562</v>
      </c>
      <c r="C34" s="467"/>
      <c r="E34" s="551"/>
    </row>
    <row r="35" spans="2:5" s="2" customFormat="1" outlineLevel="1">
      <c r="B35" s="563" t="s">
        <v>830</v>
      </c>
      <c r="C35" s="532">
        <v>36900</v>
      </c>
      <c r="E35" s="551"/>
    </row>
    <row r="36" spans="2:5" s="2" customFormat="1" outlineLevel="1">
      <c r="B36" s="560" t="s">
        <v>831</v>
      </c>
      <c r="C36" s="532">
        <v>44142</v>
      </c>
      <c r="E36" s="551"/>
    </row>
    <row r="37" spans="2:5" s="2" customFormat="1" outlineLevel="1">
      <c r="B37" s="563" t="s">
        <v>2248</v>
      </c>
      <c r="C37" s="532">
        <v>47732</v>
      </c>
      <c r="E37" s="551"/>
    </row>
    <row r="38" spans="2:5" s="2" customFormat="1" outlineLevel="1">
      <c r="B38" s="560" t="s">
        <v>833</v>
      </c>
      <c r="C38" s="532">
        <v>56081</v>
      </c>
      <c r="E38" s="551"/>
    </row>
    <row r="39" spans="2:5" s="2" customFormat="1" outlineLevel="1">
      <c r="B39" s="563" t="s">
        <v>834</v>
      </c>
      <c r="C39" s="532">
        <v>59987</v>
      </c>
      <c r="E39" s="551"/>
    </row>
    <row r="40" spans="2:5" s="2" customFormat="1" outlineLevel="1">
      <c r="B40" s="560" t="s">
        <v>835</v>
      </c>
      <c r="C40" s="532">
        <v>70513</v>
      </c>
      <c r="E40" s="551"/>
    </row>
    <row r="41" spans="2:5" s="2" customFormat="1" outlineLevel="1">
      <c r="B41" s="563" t="s">
        <v>836</v>
      </c>
      <c r="C41" s="532">
        <v>77588</v>
      </c>
      <c r="E41" s="551"/>
    </row>
    <row r="42" spans="2:5" s="2" customFormat="1" outlineLevel="1">
      <c r="B42" s="560" t="s">
        <v>837</v>
      </c>
      <c r="C42" s="532">
        <v>81533</v>
      </c>
      <c r="E42" s="551"/>
    </row>
    <row r="43" spans="2:5" s="2" customFormat="1" outlineLevel="1">
      <c r="B43" s="563" t="s">
        <v>838</v>
      </c>
      <c r="C43" s="532">
        <v>98222</v>
      </c>
      <c r="E43" s="551"/>
    </row>
    <row r="44" spans="2:5" s="2" customFormat="1" outlineLevel="1">
      <c r="B44" s="560" t="s">
        <v>839</v>
      </c>
      <c r="C44" s="532">
        <v>121815</v>
      </c>
      <c r="E44" s="551"/>
    </row>
  </sheetData>
  <sheetProtection selectLockedCells="1" selectUnlockedCells="1"/>
  <customSheetViews>
    <customSheetView guid="{0C99ABE2-728B-4C30-A993-CD651C64FAAE}" showGridLines="0" printArea="1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2BA56ECA-30F6-456D-AB26-04DD1698A098}" showGridLines="0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hyperlinks>
    <hyperlink ref="B12:B23" r:id="rId3" display="Шумоглушитель LV-SDC 100-6 E16"/>
    <hyperlink ref="B25:B33" r:id="rId4" display="Шумоглушитель LV-SDTA 400x200 E16"/>
    <hyperlink ref="B35:B44" r:id="rId5" display="Шумоглушитель LV-SDQA 250 E16"/>
  </hyperlink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6"/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900"/>
  <sheetViews>
    <sheetView topLeftCell="A93" workbookViewId="0">
      <selection activeCell="B108" sqref="B108"/>
    </sheetView>
  </sheetViews>
  <sheetFormatPr defaultColWidth="9.109375" defaultRowHeight="14.4"/>
  <cols>
    <col min="1" max="1" width="75.6640625" style="531" customWidth="1"/>
    <col min="2" max="2" width="105.44140625" style="531" customWidth="1"/>
    <col min="3" max="16384" width="9.109375" style="531"/>
  </cols>
  <sheetData>
    <row r="1" spans="1:2">
      <c r="A1" s="531" t="s">
        <v>1644</v>
      </c>
      <c r="B1" s="531" t="s">
        <v>1667</v>
      </c>
    </row>
    <row r="2" spans="1:2">
      <c r="A2" s="531" t="s">
        <v>1645</v>
      </c>
      <c r="B2" s="225" t="s">
        <v>1668</v>
      </c>
    </row>
    <row r="3" spans="1:2">
      <c r="A3" s="531" t="s">
        <v>1646</v>
      </c>
      <c r="B3" s="225" t="s">
        <v>1669</v>
      </c>
    </row>
    <row r="4" spans="1:2">
      <c r="A4" s="531" t="s">
        <v>1647</v>
      </c>
      <c r="B4" s="225" t="s">
        <v>1670</v>
      </c>
    </row>
    <row r="5" spans="1:2">
      <c r="A5" s="531" t="s">
        <v>1648</v>
      </c>
      <c r="B5" s="225" t="s">
        <v>1671</v>
      </c>
    </row>
    <row r="6" spans="1:2">
      <c r="A6" s="531" t="s">
        <v>1649</v>
      </c>
      <c r="B6" s="225" t="s">
        <v>1672</v>
      </c>
    </row>
    <row r="7" spans="1:2">
      <c r="A7" s="531" t="s">
        <v>1650</v>
      </c>
      <c r="B7" s="225" t="s">
        <v>1673</v>
      </c>
    </row>
    <row r="8" spans="1:2">
      <c r="A8" s="531" t="s">
        <v>1651</v>
      </c>
      <c r="B8" s="225" t="s">
        <v>1674</v>
      </c>
    </row>
    <row r="9" spans="1:2">
      <c r="A9" s="531" t="s">
        <v>1652</v>
      </c>
      <c r="B9" s="225" t="s">
        <v>1675</v>
      </c>
    </row>
    <row r="10" spans="1:2">
      <c r="A10" s="531" t="s">
        <v>1653</v>
      </c>
      <c r="B10" s="225" t="s">
        <v>1676</v>
      </c>
    </row>
    <row r="11" spans="1:2">
      <c r="A11" s="531" t="s">
        <v>1642</v>
      </c>
      <c r="B11" s="225" t="s">
        <v>1677</v>
      </c>
    </row>
    <row r="12" spans="1:2">
      <c r="A12" s="531" t="s">
        <v>1654</v>
      </c>
      <c r="B12" s="225" t="s">
        <v>1678</v>
      </c>
    </row>
    <row r="13" spans="1:2">
      <c r="A13" s="531" t="s">
        <v>1655</v>
      </c>
      <c r="B13" s="225" t="s">
        <v>1679</v>
      </c>
    </row>
    <row r="14" spans="1:2">
      <c r="A14" s="531" t="s">
        <v>1656</v>
      </c>
      <c r="B14" s="225" t="s">
        <v>1680</v>
      </c>
    </row>
    <row r="15" spans="1:2">
      <c r="A15" s="531" t="s">
        <v>1657</v>
      </c>
      <c r="B15" s="225" t="s">
        <v>1681</v>
      </c>
    </row>
    <row r="16" spans="1:2">
      <c r="A16" s="531" t="s">
        <v>1658</v>
      </c>
      <c r="B16" s="225" t="s">
        <v>1682</v>
      </c>
    </row>
    <row r="17" spans="1:2">
      <c r="A17" s="531" t="s">
        <v>1659</v>
      </c>
      <c r="B17" s="225" t="s">
        <v>1683</v>
      </c>
    </row>
    <row r="18" spans="1:2">
      <c r="A18" s="531" t="s">
        <v>1660</v>
      </c>
      <c r="B18" s="225" t="s">
        <v>1684</v>
      </c>
    </row>
    <row r="19" spans="1:2">
      <c r="A19" s="531" t="s">
        <v>1643</v>
      </c>
      <c r="B19" s="225" t="s">
        <v>1685</v>
      </c>
    </row>
    <row r="20" spans="1:2">
      <c r="A20" s="531" t="s">
        <v>1661</v>
      </c>
      <c r="B20" s="225" t="s">
        <v>1686</v>
      </c>
    </row>
    <row r="21" spans="1:2">
      <c r="A21" s="531" t="s">
        <v>1662</v>
      </c>
      <c r="B21" s="225" t="s">
        <v>1687</v>
      </c>
    </row>
    <row r="23" spans="1:2">
      <c r="A23" s="531" t="s">
        <v>1663</v>
      </c>
      <c r="B23" s="531" t="s">
        <v>1688</v>
      </c>
    </row>
    <row r="24" spans="1:2">
      <c r="A24" s="531" t="s">
        <v>1664</v>
      </c>
      <c r="B24" s="531" t="s">
        <v>1689</v>
      </c>
    </row>
    <row r="25" spans="1:2">
      <c r="A25" s="531" t="s">
        <v>1665</v>
      </c>
      <c r="B25" s="531" t="s">
        <v>1690</v>
      </c>
    </row>
    <row r="26" spans="1:2">
      <c r="A26" s="531" t="s">
        <v>1666</v>
      </c>
      <c r="B26" s="531" t="s">
        <v>1691</v>
      </c>
    </row>
    <row r="28" spans="1:2">
      <c r="A28" s="531" t="s">
        <v>1692</v>
      </c>
      <c r="B28" s="531" t="s">
        <v>1700</v>
      </c>
    </row>
    <row r="29" spans="1:2">
      <c r="A29" s="531" t="s">
        <v>1693</v>
      </c>
      <c r="B29" s="225" t="s">
        <v>1701</v>
      </c>
    </row>
    <row r="30" spans="1:2">
      <c r="A30" s="531" t="s">
        <v>1694</v>
      </c>
      <c r="B30" s="225" t="s">
        <v>1702</v>
      </c>
    </row>
    <row r="31" spans="1:2">
      <c r="A31" s="531" t="s">
        <v>1695</v>
      </c>
      <c r="B31" s="225" t="s">
        <v>1703</v>
      </c>
    </row>
    <row r="33" spans="1:2">
      <c r="A33" s="531" t="s">
        <v>1696</v>
      </c>
      <c r="B33" s="225" t="s">
        <v>1704</v>
      </c>
    </row>
    <row r="34" spans="1:2">
      <c r="A34" s="531" t="s">
        <v>1697</v>
      </c>
      <c r="B34" s="225" t="s">
        <v>1705</v>
      </c>
    </row>
    <row r="35" spans="1:2">
      <c r="A35" s="531" t="s">
        <v>1698</v>
      </c>
      <c r="B35" s="225" t="s">
        <v>1706</v>
      </c>
    </row>
    <row r="36" spans="1:2">
      <c r="A36" s="531" t="s">
        <v>1699</v>
      </c>
      <c r="B36" s="225" t="s">
        <v>1707</v>
      </c>
    </row>
    <row r="37" spans="1:2">
      <c r="B37" s="225"/>
    </row>
    <row r="38" spans="1:2">
      <c r="A38" s="531" t="s">
        <v>1772</v>
      </c>
      <c r="B38" s="225" t="s">
        <v>1792</v>
      </c>
    </row>
    <row r="39" spans="1:2">
      <c r="A39" s="531" t="s">
        <v>1773</v>
      </c>
      <c r="B39" s="225" t="s">
        <v>1793</v>
      </c>
    </row>
    <row r="40" spans="1:2">
      <c r="A40" s="531" t="s">
        <v>1774</v>
      </c>
      <c r="B40" s="225" t="s">
        <v>1794</v>
      </c>
    </row>
    <row r="41" spans="1:2">
      <c r="A41" s="531" t="s">
        <v>1775</v>
      </c>
      <c r="B41" s="225" t="s">
        <v>1796</v>
      </c>
    </row>
    <row r="42" spans="1:2">
      <c r="A42" s="531" t="s">
        <v>1776</v>
      </c>
      <c r="B42" s="225" t="s">
        <v>1797</v>
      </c>
    </row>
    <row r="43" spans="1:2">
      <c r="A43" s="531" t="s">
        <v>1777</v>
      </c>
      <c r="B43" s="225" t="s">
        <v>1798</v>
      </c>
    </row>
    <row r="44" spans="1:2">
      <c r="A44" s="531" t="s">
        <v>1778</v>
      </c>
      <c r="B44" s="225" t="s">
        <v>1800</v>
      </c>
    </row>
    <row r="45" spans="1:2">
      <c r="A45" s="531" t="s">
        <v>1779</v>
      </c>
      <c r="B45" s="225" t="s">
        <v>1801</v>
      </c>
    </row>
    <row r="46" spans="1:2">
      <c r="A46" s="531" t="s">
        <v>1780</v>
      </c>
      <c r="B46" s="225" t="s">
        <v>1802</v>
      </c>
    </row>
    <row r="47" spans="1:2">
      <c r="A47" s="531" t="s">
        <v>1781</v>
      </c>
      <c r="B47" s="225" t="s">
        <v>1804</v>
      </c>
    </row>
    <row r="48" spans="1:2">
      <c r="A48" s="531" t="s">
        <v>1782</v>
      </c>
      <c r="B48" s="225" t="s">
        <v>1805</v>
      </c>
    </row>
    <row r="49" spans="1:2">
      <c r="A49" s="531" t="s">
        <v>1783</v>
      </c>
      <c r="B49" s="225" t="s">
        <v>1806</v>
      </c>
    </row>
    <row r="50" spans="1:2">
      <c r="A50" s="531" t="s">
        <v>1784</v>
      </c>
      <c r="B50" s="225"/>
    </row>
    <row r="51" spans="1:2">
      <c r="A51" s="531" t="s">
        <v>1785</v>
      </c>
      <c r="B51" s="225"/>
    </row>
    <row r="52" spans="1:2">
      <c r="A52" s="531" t="s">
        <v>1786</v>
      </c>
      <c r="B52" s="225"/>
    </row>
    <row r="53" spans="1:2">
      <c r="B53" s="225"/>
    </row>
    <row r="54" spans="1:2">
      <c r="A54" s="531" t="s">
        <v>1787</v>
      </c>
      <c r="B54" s="225" t="s">
        <v>1795</v>
      </c>
    </row>
    <row r="55" spans="1:2">
      <c r="A55" s="531" t="s">
        <v>1788</v>
      </c>
      <c r="B55" s="225" t="s">
        <v>1799</v>
      </c>
    </row>
    <row r="56" spans="1:2">
      <c r="A56" s="531" t="s">
        <v>1789</v>
      </c>
      <c r="B56" s="225" t="s">
        <v>1803</v>
      </c>
    </row>
    <row r="57" spans="1:2">
      <c r="A57" s="531" t="s">
        <v>1790</v>
      </c>
      <c r="B57" s="225" t="s">
        <v>1807</v>
      </c>
    </row>
    <row r="58" spans="1:2">
      <c r="A58" s="531" t="s">
        <v>1791</v>
      </c>
      <c r="B58" s="225"/>
    </row>
    <row r="59" spans="1:2">
      <c r="B59" s="225"/>
    </row>
    <row r="60" spans="1:2">
      <c r="A60" s="531" t="s">
        <v>1708</v>
      </c>
      <c r="B60" s="225" t="s">
        <v>1737</v>
      </c>
    </row>
    <row r="61" spans="1:2">
      <c r="A61" s="531" t="s">
        <v>1709</v>
      </c>
      <c r="B61" s="225" t="s">
        <v>1737</v>
      </c>
    </row>
    <row r="62" spans="1:2">
      <c r="A62" s="531" t="s">
        <v>1710</v>
      </c>
      <c r="B62" s="225" t="s">
        <v>1728</v>
      </c>
    </row>
    <row r="63" spans="1:2">
      <c r="A63" s="531" t="s">
        <v>1711</v>
      </c>
      <c r="B63" s="225" t="s">
        <v>1728</v>
      </c>
    </row>
    <row r="64" spans="1:2">
      <c r="A64" s="531" t="s">
        <v>1712</v>
      </c>
      <c r="B64" s="225" t="s">
        <v>1729</v>
      </c>
    </row>
    <row r="65" spans="1:2">
      <c r="A65" s="531" t="s">
        <v>1713</v>
      </c>
      <c r="B65" s="225" t="s">
        <v>1729</v>
      </c>
    </row>
    <row r="66" spans="1:2">
      <c r="A66" s="531" t="s">
        <v>1714</v>
      </c>
      <c r="B66" s="225" t="s">
        <v>1730</v>
      </c>
    </row>
    <row r="67" spans="1:2">
      <c r="A67" s="531" t="s">
        <v>1715</v>
      </c>
      <c r="B67" s="225" t="s">
        <v>1730</v>
      </c>
    </row>
    <row r="68" spans="1:2">
      <c r="A68" s="531" t="s">
        <v>1716</v>
      </c>
      <c r="B68" s="225" t="s">
        <v>1731</v>
      </c>
    </row>
    <row r="69" spans="1:2">
      <c r="A69" s="531" t="s">
        <v>1717</v>
      </c>
      <c r="B69" s="225" t="s">
        <v>1731</v>
      </c>
    </row>
    <row r="70" spans="1:2">
      <c r="B70" s="225"/>
    </row>
    <row r="71" spans="1:2">
      <c r="A71" s="531" t="s">
        <v>1718</v>
      </c>
      <c r="B71" s="225" t="s">
        <v>1732</v>
      </c>
    </row>
    <row r="72" spans="1:2">
      <c r="A72" s="531" t="s">
        <v>1719</v>
      </c>
      <c r="B72" s="225" t="s">
        <v>1732</v>
      </c>
    </row>
    <row r="73" spans="1:2">
      <c r="A73" s="531" t="s">
        <v>1720</v>
      </c>
      <c r="B73" s="225" t="s">
        <v>1733</v>
      </c>
    </row>
    <row r="74" spans="1:2">
      <c r="A74" s="531" t="s">
        <v>1721</v>
      </c>
      <c r="B74" s="225" t="s">
        <v>1733</v>
      </c>
    </row>
    <row r="75" spans="1:2">
      <c r="A75" s="531" t="s">
        <v>1722</v>
      </c>
      <c r="B75" s="225" t="s">
        <v>1734</v>
      </c>
    </row>
    <row r="76" spans="1:2">
      <c r="A76" s="531" t="s">
        <v>1723</v>
      </c>
      <c r="B76" s="225" t="s">
        <v>1734</v>
      </c>
    </row>
    <row r="77" spans="1:2">
      <c r="A77" s="531" t="s">
        <v>1724</v>
      </c>
      <c r="B77" s="225" t="s">
        <v>1735</v>
      </c>
    </row>
    <row r="78" spans="1:2">
      <c r="A78" s="531" t="s">
        <v>1725</v>
      </c>
      <c r="B78" s="225" t="s">
        <v>1735</v>
      </c>
    </row>
    <row r="79" spans="1:2">
      <c r="A79" s="531" t="s">
        <v>1726</v>
      </c>
      <c r="B79" s="225" t="s">
        <v>1736</v>
      </c>
    </row>
    <row r="80" spans="1:2">
      <c r="A80" s="531" t="s">
        <v>1727</v>
      </c>
      <c r="B80" s="225" t="s">
        <v>1736</v>
      </c>
    </row>
    <row r="81" spans="1:2">
      <c r="B81" s="225"/>
    </row>
    <row r="82" spans="1:2">
      <c r="A82" s="531" t="s">
        <v>1754</v>
      </c>
      <c r="B82" s="225" t="s">
        <v>1766</v>
      </c>
    </row>
    <row r="83" spans="1:2">
      <c r="A83" s="531" t="s">
        <v>1755</v>
      </c>
      <c r="B83" s="225" t="s">
        <v>1766</v>
      </c>
    </row>
    <row r="84" spans="1:2">
      <c r="A84" s="531" t="s">
        <v>1756</v>
      </c>
      <c r="B84" s="225" t="s">
        <v>1767</v>
      </c>
    </row>
    <row r="85" spans="1:2">
      <c r="A85" s="531" t="s">
        <v>1757</v>
      </c>
      <c r="B85" s="225" t="s">
        <v>1767</v>
      </c>
    </row>
    <row r="86" spans="1:2">
      <c r="A86" s="531" t="s">
        <v>1758</v>
      </c>
      <c r="B86" s="225" t="s">
        <v>1768</v>
      </c>
    </row>
    <row r="87" spans="1:2">
      <c r="A87" s="531" t="s">
        <v>1759</v>
      </c>
      <c r="B87" s="225" t="s">
        <v>1768</v>
      </c>
    </row>
    <row r="88" spans="1:2">
      <c r="B88" s="225"/>
    </row>
    <row r="89" spans="1:2">
      <c r="A89" s="531" t="s">
        <v>1760</v>
      </c>
      <c r="B89" s="225" t="s">
        <v>1769</v>
      </c>
    </row>
    <row r="90" spans="1:2">
      <c r="A90" s="531" t="s">
        <v>1761</v>
      </c>
      <c r="B90" s="225" t="s">
        <v>1769</v>
      </c>
    </row>
    <row r="91" spans="1:2">
      <c r="A91" s="531" t="s">
        <v>1762</v>
      </c>
      <c r="B91" s="225" t="s">
        <v>1770</v>
      </c>
    </row>
    <row r="92" spans="1:2">
      <c r="A92" s="531" t="s">
        <v>1763</v>
      </c>
      <c r="B92" s="225" t="s">
        <v>1770</v>
      </c>
    </row>
    <row r="93" spans="1:2">
      <c r="A93" s="531" t="s">
        <v>1764</v>
      </c>
      <c r="B93" s="225" t="s">
        <v>1771</v>
      </c>
    </row>
    <row r="94" spans="1:2">
      <c r="A94" s="531" t="s">
        <v>1765</v>
      </c>
      <c r="B94" s="225" t="s">
        <v>1771</v>
      </c>
    </row>
    <row r="95" spans="1:2">
      <c r="B95" s="225"/>
    </row>
    <row r="96" spans="1:2">
      <c r="A96" s="531" t="s">
        <v>1738</v>
      </c>
      <c r="B96" s="225" t="s">
        <v>1746</v>
      </c>
    </row>
    <row r="97" spans="1:2">
      <c r="A97" s="531" t="s">
        <v>1739</v>
      </c>
      <c r="B97" s="225" t="s">
        <v>1747</v>
      </c>
    </row>
    <row r="98" spans="1:2">
      <c r="A98" s="531" t="s">
        <v>1740</v>
      </c>
      <c r="B98" s="225" t="s">
        <v>1748</v>
      </c>
    </row>
    <row r="99" spans="1:2">
      <c r="A99" s="531" t="s">
        <v>1741</v>
      </c>
      <c r="B99" s="225" t="s">
        <v>1749</v>
      </c>
    </row>
    <row r="100" spans="1:2">
      <c r="A100" s="531" t="s">
        <v>1742</v>
      </c>
      <c r="B100" s="225" t="s">
        <v>1750</v>
      </c>
    </row>
    <row r="101" spans="1:2">
      <c r="B101" s="225"/>
    </row>
    <row r="102" spans="1:2">
      <c r="A102" s="531" t="s">
        <v>1874</v>
      </c>
      <c r="B102" s="225" t="s">
        <v>1886</v>
      </c>
    </row>
    <row r="103" spans="1:2">
      <c r="A103" s="531" t="s">
        <v>1875</v>
      </c>
      <c r="B103" s="225" t="s">
        <v>1888</v>
      </c>
    </row>
    <row r="104" spans="1:2">
      <c r="A104" s="531" t="s">
        <v>1876</v>
      </c>
      <c r="B104" s="225" t="s">
        <v>1890</v>
      </c>
    </row>
    <row r="105" spans="1:2">
      <c r="A105" s="531" t="s">
        <v>1877</v>
      </c>
      <c r="B105" s="225" t="s">
        <v>1892</v>
      </c>
    </row>
    <row r="106" spans="1:2">
      <c r="A106" s="531" t="s">
        <v>1878</v>
      </c>
      <c r="B106" s="225" t="s">
        <v>1894</v>
      </c>
    </row>
    <row r="107" spans="1:2">
      <c r="A107" s="531" t="s">
        <v>1879</v>
      </c>
      <c r="B107" s="225" t="s">
        <v>1896</v>
      </c>
    </row>
    <row r="108" spans="1:2">
      <c r="B108" s="225"/>
    </row>
    <row r="109" spans="1:2">
      <c r="A109" s="531" t="s">
        <v>1880</v>
      </c>
      <c r="B109" s="225" t="s">
        <v>1887</v>
      </c>
    </row>
    <row r="110" spans="1:2">
      <c r="A110" s="531" t="s">
        <v>1881</v>
      </c>
      <c r="B110" s="225" t="s">
        <v>1889</v>
      </c>
    </row>
    <row r="111" spans="1:2">
      <c r="A111" s="531" t="s">
        <v>1882</v>
      </c>
      <c r="B111" s="225" t="s">
        <v>1891</v>
      </c>
    </row>
    <row r="112" spans="1:2">
      <c r="A112" s="531" t="s">
        <v>1883</v>
      </c>
      <c r="B112" s="225" t="s">
        <v>1893</v>
      </c>
    </row>
    <row r="113" spans="1:2">
      <c r="A113" s="531" t="s">
        <v>1884</v>
      </c>
      <c r="B113" s="225" t="s">
        <v>1895</v>
      </c>
    </row>
    <row r="114" spans="1:2">
      <c r="A114" s="531" t="s">
        <v>1885</v>
      </c>
      <c r="B114" s="225" t="s">
        <v>1897</v>
      </c>
    </row>
    <row r="115" spans="1:2">
      <c r="B115" s="225"/>
    </row>
    <row r="116" spans="1:2">
      <c r="A116" s="531" t="s">
        <v>1743</v>
      </c>
      <c r="B116" s="225" t="s">
        <v>1751</v>
      </c>
    </row>
    <row r="117" spans="1:2">
      <c r="A117" s="531" t="s">
        <v>1744</v>
      </c>
      <c r="B117" s="225" t="s">
        <v>1752</v>
      </c>
    </row>
    <row r="118" spans="1:2">
      <c r="A118" s="531" t="s">
        <v>1745</v>
      </c>
      <c r="B118" s="225" t="s">
        <v>1753</v>
      </c>
    </row>
    <row r="119" spans="1:2">
      <c r="B119" s="225"/>
    </row>
    <row r="120" spans="1:2">
      <c r="A120" s="531" t="s">
        <v>1808</v>
      </c>
      <c r="B120" s="225" t="s">
        <v>1830</v>
      </c>
    </row>
    <row r="121" spans="1:2">
      <c r="A121" s="531" t="s">
        <v>1809</v>
      </c>
      <c r="B121" s="225" t="s">
        <v>1830</v>
      </c>
    </row>
    <row r="122" spans="1:2">
      <c r="A122" s="531" t="s">
        <v>1810</v>
      </c>
      <c r="B122" s="225" t="s">
        <v>1832</v>
      </c>
    </row>
    <row r="123" spans="1:2">
      <c r="A123" s="531" t="s">
        <v>1811</v>
      </c>
      <c r="B123" s="225" t="s">
        <v>1832</v>
      </c>
    </row>
    <row r="124" spans="1:2">
      <c r="A124" s="531" t="s">
        <v>1812</v>
      </c>
      <c r="B124" s="225" t="s">
        <v>1834</v>
      </c>
    </row>
    <row r="125" spans="1:2">
      <c r="A125" s="531" t="s">
        <v>1813</v>
      </c>
      <c r="B125" s="225" t="s">
        <v>1834</v>
      </c>
    </row>
    <row r="126" spans="1:2">
      <c r="A126" s="531" t="s">
        <v>1814</v>
      </c>
      <c r="B126" s="225" t="s">
        <v>1836</v>
      </c>
    </row>
    <row r="127" spans="1:2">
      <c r="A127" s="531" t="s">
        <v>1815</v>
      </c>
      <c r="B127" s="225" t="s">
        <v>1836</v>
      </c>
    </row>
    <row r="128" spans="1:2">
      <c r="A128" s="531" t="s">
        <v>1816</v>
      </c>
      <c r="B128" s="225" t="s">
        <v>1838</v>
      </c>
    </row>
    <row r="129" spans="1:2">
      <c r="A129" s="531" t="s">
        <v>1817</v>
      </c>
      <c r="B129" s="225" t="s">
        <v>1840</v>
      </c>
    </row>
    <row r="130" spans="1:2">
      <c r="A130" s="531" t="s">
        <v>1818</v>
      </c>
      <c r="B130" s="225" t="s">
        <v>1842</v>
      </c>
    </row>
    <row r="131" spans="1:2">
      <c r="B131" s="225"/>
    </row>
    <row r="132" spans="1:2">
      <c r="A132" s="531" t="s">
        <v>1819</v>
      </c>
      <c r="B132" s="225" t="s">
        <v>1831</v>
      </c>
    </row>
    <row r="133" spans="1:2">
      <c r="A133" s="531" t="s">
        <v>1820</v>
      </c>
      <c r="B133" s="225" t="s">
        <v>1831</v>
      </c>
    </row>
    <row r="134" spans="1:2">
      <c r="A134" s="531" t="s">
        <v>1821</v>
      </c>
      <c r="B134" s="225" t="s">
        <v>1833</v>
      </c>
    </row>
    <row r="135" spans="1:2">
      <c r="A135" s="531" t="s">
        <v>1822</v>
      </c>
      <c r="B135" s="225" t="s">
        <v>1833</v>
      </c>
    </row>
    <row r="136" spans="1:2">
      <c r="A136" s="531" t="s">
        <v>1823</v>
      </c>
      <c r="B136" s="225" t="s">
        <v>1835</v>
      </c>
    </row>
    <row r="137" spans="1:2">
      <c r="A137" s="531" t="s">
        <v>1824</v>
      </c>
      <c r="B137" s="225" t="s">
        <v>1835</v>
      </c>
    </row>
    <row r="138" spans="1:2">
      <c r="A138" s="531" t="s">
        <v>1825</v>
      </c>
      <c r="B138" s="225" t="s">
        <v>1837</v>
      </c>
    </row>
    <row r="139" spans="1:2">
      <c r="A139" s="531" t="s">
        <v>1826</v>
      </c>
      <c r="B139" s="225" t="s">
        <v>1837</v>
      </c>
    </row>
    <row r="140" spans="1:2">
      <c r="A140" s="531" t="s">
        <v>1827</v>
      </c>
      <c r="B140" s="225" t="s">
        <v>1839</v>
      </c>
    </row>
    <row r="141" spans="1:2">
      <c r="A141" s="531" t="s">
        <v>1828</v>
      </c>
      <c r="B141" s="225" t="s">
        <v>1841</v>
      </c>
    </row>
    <row r="142" spans="1:2">
      <c r="A142" s="531" t="s">
        <v>1829</v>
      </c>
      <c r="B142" s="531" t="s">
        <v>1843</v>
      </c>
    </row>
    <row r="144" spans="1:2">
      <c r="A144" s="531" t="s">
        <v>1844</v>
      </c>
      <c r="B144" s="531" t="s">
        <v>1858</v>
      </c>
    </row>
    <row r="145" spans="1:2">
      <c r="A145" s="531" t="s">
        <v>1845</v>
      </c>
      <c r="B145" s="531" t="s">
        <v>1860</v>
      </c>
    </row>
    <row r="146" spans="1:2">
      <c r="A146" s="531" t="s">
        <v>1846</v>
      </c>
      <c r="B146" s="531" t="s">
        <v>1862</v>
      </c>
    </row>
    <row r="147" spans="1:2">
      <c r="A147" s="531" t="s">
        <v>1847</v>
      </c>
      <c r="B147" s="531" t="s">
        <v>1864</v>
      </c>
    </row>
    <row r="148" spans="1:2">
      <c r="A148" s="531" t="s">
        <v>1848</v>
      </c>
      <c r="B148" s="531" t="s">
        <v>1866</v>
      </c>
    </row>
    <row r="149" spans="1:2">
      <c r="A149" s="531" t="s">
        <v>1849</v>
      </c>
      <c r="B149" s="531" t="s">
        <v>1868</v>
      </c>
    </row>
    <row r="150" spans="1:2">
      <c r="A150" s="531" t="s">
        <v>1850</v>
      </c>
      <c r="B150" s="531" t="s">
        <v>1870</v>
      </c>
    </row>
    <row r="152" spans="1:2">
      <c r="A152" s="531" t="s">
        <v>1851</v>
      </c>
      <c r="B152" s="531" t="s">
        <v>1859</v>
      </c>
    </row>
    <row r="153" spans="1:2">
      <c r="A153" s="531" t="s">
        <v>1852</v>
      </c>
      <c r="B153" s="531" t="s">
        <v>1861</v>
      </c>
    </row>
    <row r="154" spans="1:2">
      <c r="A154" s="531" t="s">
        <v>1853</v>
      </c>
      <c r="B154" s="531" t="s">
        <v>1863</v>
      </c>
    </row>
    <row r="155" spans="1:2">
      <c r="A155" s="531" t="s">
        <v>1854</v>
      </c>
      <c r="B155" s="531" t="s">
        <v>1865</v>
      </c>
    </row>
    <row r="156" spans="1:2">
      <c r="A156" s="531" t="s">
        <v>1855</v>
      </c>
      <c r="B156" s="531" t="s">
        <v>1867</v>
      </c>
    </row>
    <row r="157" spans="1:2">
      <c r="A157" s="531" t="s">
        <v>1856</v>
      </c>
      <c r="B157" s="531" t="s">
        <v>1869</v>
      </c>
    </row>
    <row r="158" spans="1:2">
      <c r="A158" s="531" t="s">
        <v>1857</v>
      </c>
      <c r="B158" s="531" t="s">
        <v>1871</v>
      </c>
    </row>
    <row r="160" spans="1:2">
      <c r="A160" s="531" t="s">
        <v>1361</v>
      </c>
      <c r="B160" s="531" t="s">
        <v>1873</v>
      </c>
    </row>
    <row r="161" spans="1:2">
      <c r="A161" s="531" t="s">
        <v>1362</v>
      </c>
      <c r="B161" s="531" t="s">
        <v>1872</v>
      </c>
    </row>
    <row r="162" spans="1:2">
      <c r="A162" s="531" t="s">
        <v>1363</v>
      </c>
    </row>
    <row r="163" spans="1:2">
      <c r="A163" s="531" t="s">
        <v>1364</v>
      </c>
    </row>
    <row r="165" spans="1:2">
      <c r="A165" s="543" t="s">
        <v>660</v>
      </c>
      <c r="B165" s="531" t="s">
        <v>661</v>
      </c>
    </row>
    <row r="166" spans="1:2">
      <c r="A166" s="543" t="s">
        <v>669</v>
      </c>
      <c r="B166" s="531" t="s">
        <v>662</v>
      </c>
    </row>
    <row r="167" spans="1:2">
      <c r="A167" s="543" t="s">
        <v>677</v>
      </c>
      <c r="B167" s="531" t="s">
        <v>663</v>
      </c>
    </row>
    <row r="168" spans="1:2">
      <c r="A168" s="543" t="s">
        <v>684</v>
      </c>
      <c r="B168" s="531" t="s">
        <v>664</v>
      </c>
    </row>
    <row r="169" spans="1:2">
      <c r="A169" s="543" t="s">
        <v>691</v>
      </c>
      <c r="B169" s="531" t="s">
        <v>665</v>
      </c>
    </row>
    <row r="170" spans="1:2">
      <c r="A170" s="543" t="s">
        <v>698</v>
      </c>
      <c r="B170" s="531" t="s">
        <v>666</v>
      </c>
    </row>
    <row r="172" spans="1:2">
      <c r="A172" s="531" t="s">
        <v>667</v>
      </c>
      <c r="B172" s="531" t="s">
        <v>782</v>
      </c>
    </row>
    <row r="173" spans="1:2">
      <c r="A173" s="531" t="s">
        <v>668</v>
      </c>
      <c r="B173" s="225" t="s">
        <v>783</v>
      </c>
    </row>
    <row r="174" spans="1:2">
      <c r="A174" s="531" t="s">
        <v>670</v>
      </c>
      <c r="B174" s="225" t="s">
        <v>784</v>
      </c>
    </row>
    <row r="175" spans="1:2">
      <c r="A175" s="531" t="s">
        <v>671</v>
      </c>
      <c r="B175" s="225" t="s">
        <v>785</v>
      </c>
    </row>
    <row r="176" spans="1:2">
      <c r="A176" s="531" t="s">
        <v>676</v>
      </c>
      <c r="B176" s="225" t="s">
        <v>786</v>
      </c>
    </row>
    <row r="177" spans="1:2">
      <c r="A177" s="531" t="s">
        <v>678</v>
      </c>
      <c r="B177" s="225" t="s">
        <v>787</v>
      </c>
    </row>
    <row r="178" spans="1:2">
      <c r="A178" s="531" t="s">
        <v>683</v>
      </c>
      <c r="B178" s="225" t="s">
        <v>788</v>
      </c>
    </row>
    <row r="179" spans="1:2">
      <c r="A179" s="531" t="s">
        <v>685</v>
      </c>
      <c r="B179" s="225" t="s">
        <v>789</v>
      </c>
    </row>
    <row r="180" spans="1:2">
      <c r="A180" s="531" t="s">
        <v>690</v>
      </c>
      <c r="B180" s="225" t="s">
        <v>790</v>
      </c>
    </row>
    <row r="181" spans="1:2">
      <c r="A181" s="531" t="s">
        <v>692</v>
      </c>
      <c r="B181" s="225" t="s">
        <v>791</v>
      </c>
    </row>
    <row r="182" spans="1:2">
      <c r="A182" s="531" t="s">
        <v>699</v>
      </c>
      <c r="B182" s="225" t="s">
        <v>792</v>
      </c>
    </row>
    <row r="183" spans="1:2">
      <c r="A183" s="531" t="s">
        <v>700</v>
      </c>
      <c r="B183" s="225" t="s">
        <v>793</v>
      </c>
    </row>
    <row r="185" spans="1:2">
      <c r="A185" s="531" t="s">
        <v>674</v>
      </c>
      <c r="B185" s="531" t="s">
        <v>794</v>
      </c>
    </row>
    <row r="186" spans="1:2">
      <c r="A186" s="531" t="s">
        <v>680</v>
      </c>
      <c r="B186" s="225" t="s">
        <v>795</v>
      </c>
    </row>
    <row r="187" spans="1:2">
      <c r="A187" s="531" t="s">
        <v>686</v>
      </c>
      <c r="B187" s="225" t="s">
        <v>796</v>
      </c>
    </row>
    <row r="188" spans="1:2">
      <c r="A188" s="531" t="s">
        <v>693</v>
      </c>
      <c r="B188" s="225" t="s">
        <v>797</v>
      </c>
    </row>
    <row r="189" spans="1:2">
      <c r="A189" s="531" t="s">
        <v>701</v>
      </c>
      <c r="B189" s="225" t="s">
        <v>798</v>
      </c>
    </row>
    <row r="190" spans="1:2">
      <c r="B190" s="225"/>
    </row>
    <row r="191" spans="1:2">
      <c r="A191" s="531" t="s">
        <v>672</v>
      </c>
      <c r="B191" s="225" t="s">
        <v>1326</v>
      </c>
    </row>
    <row r="192" spans="1:2">
      <c r="A192" s="531" t="s">
        <v>673</v>
      </c>
      <c r="B192" s="225" t="s">
        <v>1327</v>
      </c>
    </row>
    <row r="193" spans="1:2">
      <c r="A193" s="531" t="s">
        <v>679</v>
      </c>
      <c r="B193" s="225" t="s">
        <v>1328</v>
      </c>
    </row>
    <row r="194" spans="1:2">
      <c r="A194" s="531" t="s">
        <v>681</v>
      </c>
      <c r="B194" s="225" t="s">
        <v>1329</v>
      </c>
    </row>
    <row r="195" spans="1:2">
      <c r="A195" s="531" t="s">
        <v>687</v>
      </c>
      <c r="B195" s="225" t="s">
        <v>1330</v>
      </c>
    </row>
    <row r="196" spans="1:2">
      <c r="A196" s="531" t="s">
        <v>688</v>
      </c>
      <c r="B196" s="225" t="s">
        <v>1331</v>
      </c>
    </row>
    <row r="197" spans="1:2">
      <c r="A197" s="531" t="s">
        <v>694</v>
      </c>
      <c r="B197" s="225" t="s">
        <v>1332</v>
      </c>
    </row>
    <row r="198" spans="1:2">
      <c r="A198" s="531" t="s">
        <v>695</v>
      </c>
      <c r="B198" s="225" t="s">
        <v>1334</v>
      </c>
    </row>
    <row r="199" spans="1:2">
      <c r="A199" s="531" t="s">
        <v>697</v>
      </c>
      <c r="B199" s="225" t="s">
        <v>1333</v>
      </c>
    </row>
    <row r="200" spans="1:2">
      <c r="A200" s="531" t="s">
        <v>702</v>
      </c>
      <c r="B200" s="225" t="s">
        <v>1335</v>
      </c>
    </row>
    <row r="201" spans="1:2">
      <c r="A201" s="531" t="s">
        <v>703</v>
      </c>
      <c r="B201" s="225" t="s">
        <v>1336</v>
      </c>
    </row>
    <row r="202" spans="1:2">
      <c r="A202" s="531" t="s">
        <v>1324</v>
      </c>
      <c r="B202" s="225" t="s">
        <v>1337</v>
      </c>
    </row>
    <row r="203" spans="1:2">
      <c r="A203" s="531" t="s">
        <v>1325</v>
      </c>
      <c r="B203" s="225" t="s">
        <v>1338</v>
      </c>
    </row>
    <row r="204" spans="1:2">
      <c r="B204" s="225"/>
    </row>
    <row r="205" spans="1:2">
      <c r="A205" s="531" t="s">
        <v>675</v>
      </c>
      <c r="B205" s="225" t="s">
        <v>1339</v>
      </c>
    </row>
    <row r="206" spans="1:2">
      <c r="A206" s="531" t="s">
        <v>682</v>
      </c>
      <c r="B206" s="225" t="s">
        <v>1340</v>
      </c>
    </row>
    <row r="207" spans="1:2">
      <c r="A207" s="531" t="s">
        <v>689</v>
      </c>
      <c r="B207" s="225" t="s">
        <v>1341</v>
      </c>
    </row>
    <row r="208" spans="1:2">
      <c r="A208" s="531" t="s">
        <v>696</v>
      </c>
      <c r="B208" s="225" t="s">
        <v>1342</v>
      </c>
    </row>
    <row r="209" spans="1:2">
      <c r="A209" s="531" t="s">
        <v>704</v>
      </c>
      <c r="B209" s="225" t="s">
        <v>1343</v>
      </c>
    </row>
    <row r="210" spans="1:2">
      <c r="B210" s="225"/>
    </row>
    <row r="211" spans="1:2">
      <c r="A211" s="531" t="s">
        <v>706</v>
      </c>
      <c r="B211" s="225" t="s">
        <v>1346</v>
      </c>
    </row>
    <row r="212" spans="1:2">
      <c r="A212" s="531" t="s">
        <v>705</v>
      </c>
      <c r="B212" s="225" t="s">
        <v>1347</v>
      </c>
    </row>
    <row r="213" spans="1:2">
      <c r="A213" s="531" t="s">
        <v>707</v>
      </c>
      <c r="B213" s="225" t="s">
        <v>1348</v>
      </c>
    </row>
    <row r="214" spans="1:2">
      <c r="A214" s="531" t="s">
        <v>708</v>
      </c>
      <c r="B214" s="225" t="s">
        <v>1349</v>
      </c>
    </row>
    <row r="215" spans="1:2">
      <c r="A215" s="531" t="s">
        <v>711</v>
      </c>
      <c r="B215" s="225" t="s">
        <v>1350</v>
      </c>
    </row>
    <row r="216" spans="1:2">
      <c r="A216" s="531" t="s">
        <v>712</v>
      </c>
      <c r="B216" s="225" t="s">
        <v>1351</v>
      </c>
    </row>
    <row r="217" spans="1:2">
      <c r="A217" s="531" t="s">
        <v>713</v>
      </c>
      <c r="B217" s="225" t="s">
        <v>1352</v>
      </c>
    </row>
    <row r="218" spans="1:2">
      <c r="A218" s="531" t="s">
        <v>710</v>
      </c>
      <c r="B218" s="225" t="s">
        <v>1372</v>
      </c>
    </row>
    <row r="219" spans="1:2">
      <c r="A219" s="531" t="s">
        <v>718</v>
      </c>
      <c r="B219" s="542"/>
    </row>
    <row r="220" spans="1:2">
      <c r="A220" s="531" t="s">
        <v>717</v>
      </c>
      <c r="B220" s="542"/>
    </row>
    <row r="221" spans="1:2">
      <c r="A221" s="531" t="s">
        <v>722</v>
      </c>
      <c r="B221" s="225" t="s">
        <v>1353</v>
      </c>
    </row>
    <row r="222" spans="1:2">
      <c r="A222" s="531" t="s">
        <v>719</v>
      </c>
      <c r="B222" s="225" t="s">
        <v>1354</v>
      </c>
    </row>
    <row r="223" spans="1:2">
      <c r="A223" s="531" t="s">
        <v>723</v>
      </c>
      <c r="B223" s="225" t="s">
        <v>1355</v>
      </c>
    </row>
    <row r="224" spans="1:2">
      <c r="A224" s="531" t="s">
        <v>721</v>
      </c>
      <c r="B224" s="225" t="s">
        <v>1356</v>
      </c>
    </row>
    <row r="225" spans="1:2">
      <c r="A225" s="531" t="s">
        <v>1344</v>
      </c>
      <c r="B225" s="225"/>
    </row>
    <row r="226" spans="1:2">
      <c r="A226" s="531" t="s">
        <v>720</v>
      </c>
      <c r="B226" s="225" t="s">
        <v>1373</v>
      </c>
    </row>
    <row r="227" spans="1:2">
      <c r="A227" s="531" t="s">
        <v>727</v>
      </c>
      <c r="B227" s="542"/>
    </row>
    <row r="228" spans="1:2">
      <c r="A228" s="531" t="s">
        <v>728</v>
      </c>
      <c r="B228" s="542"/>
    </row>
    <row r="229" spans="1:2">
      <c r="A229" s="531" t="s">
        <v>730</v>
      </c>
      <c r="B229" s="225" t="s">
        <v>1357</v>
      </c>
    </row>
    <row r="230" spans="1:2">
      <c r="A230" s="531" t="s">
        <v>732</v>
      </c>
      <c r="B230" s="225" t="s">
        <v>1358</v>
      </c>
    </row>
    <row r="231" spans="1:2">
      <c r="A231" s="531" t="s">
        <v>731</v>
      </c>
      <c r="B231" s="225" t="s">
        <v>1359</v>
      </c>
    </row>
    <row r="232" spans="1:2">
      <c r="A232" s="531" t="s">
        <v>1345</v>
      </c>
      <c r="B232" s="225"/>
    </row>
    <row r="233" spans="1:2">
      <c r="A233" s="531" t="s">
        <v>729</v>
      </c>
      <c r="B233" s="225" t="s">
        <v>1374</v>
      </c>
    </row>
    <row r="234" spans="1:2">
      <c r="A234" s="531" t="s">
        <v>737</v>
      </c>
      <c r="B234" s="542"/>
    </row>
    <row r="235" spans="1:2">
      <c r="A235" s="531" t="s">
        <v>738</v>
      </c>
      <c r="B235" s="542"/>
    </row>
    <row r="236" spans="1:2">
      <c r="A236" s="531" t="s">
        <v>739</v>
      </c>
      <c r="B236" s="225" t="s">
        <v>1360</v>
      </c>
    </row>
    <row r="237" spans="1:2">
      <c r="A237" s="531" t="s">
        <v>741</v>
      </c>
      <c r="B237" s="225" t="s">
        <v>1365</v>
      </c>
    </row>
    <row r="238" spans="1:2">
      <c r="A238" s="531" t="s">
        <v>736</v>
      </c>
      <c r="B238" s="225" t="s">
        <v>1375</v>
      </c>
    </row>
    <row r="239" spans="1:2">
      <c r="A239" s="531" t="s">
        <v>743</v>
      </c>
      <c r="B239" s="542"/>
    </row>
    <row r="240" spans="1:2">
      <c r="A240" s="531" t="s">
        <v>746</v>
      </c>
      <c r="B240" s="542"/>
    </row>
    <row r="241" spans="1:2">
      <c r="A241" s="531" t="s">
        <v>745</v>
      </c>
      <c r="B241" s="225" t="s">
        <v>1366</v>
      </c>
    </row>
    <row r="242" spans="1:2">
      <c r="A242" s="531" t="s">
        <v>747</v>
      </c>
      <c r="B242" s="225" t="s">
        <v>1367</v>
      </c>
    </row>
    <row r="243" spans="1:2">
      <c r="A243" s="531" t="s">
        <v>749</v>
      </c>
      <c r="B243" s="225" t="s">
        <v>1368</v>
      </c>
    </row>
    <row r="244" spans="1:2">
      <c r="A244" s="531" t="s">
        <v>744</v>
      </c>
      <c r="B244" s="225" t="s">
        <v>1376</v>
      </c>
    </row>
    <row r="245" spans="1:2">
      <c r="A245" s="531" t="s">
        <v>752</v>
      </c>
      <c r="B245" s="225" t="s">
        <v>1377</v>
      </c>
    </row>
    <row r="246" spans="1:2">
      <c r="A246" s="531" t="s">
        <v>759</v>
      </c>
      <c r="B246" s="542"/>
    </row>
    <row r="247" spans="1:2">
      <c r="A247" s="531" t="s">
        <v>755</v>
      </c>
      <c r="B247" s="225" t="s">
        <v>1369</v>
      </c>
    </row>
    <row r="248" spans="1:2">
      <c r="A248" s="531" t="s">
        <v>756</v>
      </c>
      <c r="B248" s="225" t="s">
        <v>1370</v>
      </c>
    </row>
    <row r="249" spans="1:2">
      <c r="A249" s="531" t="s">
        <v>757</v>
      </c>
      <c r="B249" s="225" t="s">
        <v>1371</v>
      </c>
    </row>
    <row r="250" spans="1:2">
      <c r="A250" s="531" t="s">
        <v>754</v>
      </c>
      <c r="B250" s="225" t="s">
        <v>1378</v>
      </c>
    </row>
    <row r="251" spans="1:2">
      <c r="B251" s="225"/>
    </row>
    <row r="252" spans="1:2">
      <c r="A252" s="531" t="s">
        <v>709</v>
      </c>
      <c r="B252" s="225" t="s">
        <v>1381</v>
      </c>
    </row>
    <row r="253" spans="1:2">
      <c r="A253" s="531" t="s">
        <v>714</v>
      </c>
      <c r="B253" s="225" t="s">
        <v>1382</v>
      </c>
    </row>
    <row r="254" spans="1:2">
      <c r="A254" s="531" t="s">
        <v>715</v>
      </c>
      <c r="B254" s="225" t="s">
        <v>1383</v>
      </c>
    </row>
    <row r="255" spans="1:2">
      <c r="A255" s="531" t="s">
        <v>716</v>
      </c>
      <c r="B255" s="225" t="s">
        <v>1372</v>
      </c>
    </row>
    <row r="256" spans="1:2">
      <c r="A256" s="531" t="s">
        <v>725</v>
      </c>
      <c r="B256" s="225" t="s">
        <v>1384</v>
      </c>
    </row>
    <row r="257" spans="1:2">
      <c r="A257" s="531" t="s">
        <v>724</v>
      </c>
      <c r="B257" s="225" t="s">
        <v>1385</v>
      </c>
    </row>
    <row r="258" spans="1:2">
      <c r="A258" s="531" t="s">
        <v>1379</v>
      </c>
      <c r="B258" s="225"/>
    </row>
    <row r="259" spans="1:2">
      <c r="A259" s="531" t="s">
        <v>726</v>
      </c>
      <c r="B259" s="225" t="s">
        <v>1373</v>
      </c>
    </row>
    <row r="260" spans="1:2">
      <c r="A260" s="531" t="s">
        <v>734</v>
      </c>
      <c r="B260" s="225" t="s">
        <v>1386</v>
      </c>
    </row>
    <row r="261" spans="1:2">
      <c r="A261" s="531" t="s">
        <v>733</v>
      </c>
      <c r="B261" s="225" t="s">
        <v>1387</v>
      </c>
    </row>
    <row r="262" spans="1:2">
      <c r="A262" s="531" t="s">
        <v>1380</v>
      </c>
      <c r="B262" s="225"/>
    </row>
    <row r="263" spans="1:2">
      <c r="A263" s="531" t="s">
        <v>735</v>
      </c>
      <c r="B263" s="225" t="s">
        <v>1374</v>
      </c>
    </row>
    <row r="264" spans="1:2">
      <c r="A264" s="531" t="s">
        <v>742</v>
      </c>
      <c r="B264" s="225" t="s">
        <v>1388</v>
      </c>
    </row>
    <row r="265" spans="1:2">
      <c r="A265" s="531" t="s">
        <v>740</v>
      </c>
      <c r="B265" s="225" t="s">
        <v>1375</v>
      </c>
    </row>
    <row r="266" spans="1:2">
      <c r="A266" s="531" t="s">
        <v>750</v>
      </c>
      <c r="B266" s="542"/>
    </row>
    <row r="267" spans="1:2">
      <c r="A267" s="531" t="s">
        <v>751</v>
      </c>
      <c r="B267" s="225" t="s">
        <v>1389</v>
      </c>
    </row>
    <row r="268" spans="1:2">
      <c r="A268" s="531" t="s">
        <v>748</v>
      </c>
      <c r="B268" s="225" t="s">
        <v>1376</v>
      </c>
    </row>
    <row r="269" spans="1:2">
      <c r="A269" s="531" t="s">
        <v>753</v>
      </c>
      <c r="B269" s="225" t="s">
        <v>1377</v>
      </c>
    </row>
    <row r="270" spans="1:2">
      <c r="A270" s="531" t="s">
        <v>760</v>
      </c>
      <c r="B270" s="542"/>
    </row>
    <row r="271" spans="1:2">
      <c r="A271" s="531" t="s">
        <v>761</v>
      </c>
      <c r="B271" s="225" t="s">
        <v>1390</v>
      </c>
    </row>
    <row r="272" spans="1:2">
      <c r="A272" s="531" t="s">
        <v>758</v>
      </c>
      <c r="B272" s="225" t="s">
        <v>1378</v>
      </c>
    </row>
    <row r="273" spans="1:2">
      <c r="B273" s="225"/>
    </row>
    <row r="274" spans="1:2">
      <c r="A274" s="531" t="s">
        <v>762</v>
      </c>
      <c r="B274" s="225" t="s">
        <v>1391</v>
      </c>
    </row>
    <row r="275" spans="1:2">
      <c r="A275" s="531" t="s">
        <v>763</v>
      </c>
      <c r="B275" s="225" t="s">
        <v>1392</v>
      </c>
    </row>
    <row r="276" spans="1:2">
      <c r="A276" s="531" t="s">
        <v>764</v>
      </c>
      <c r="B276" s="225" t="s">
        <v>1393</v>
      </c>
    </row>
    <row r="277" spans="1:2">
      <c r="A277" s="531" t="s">
        <v>765</v>
      </c>
      <c r="B277" s="225" t="s">
        <v>1394</v>
      </c>
    </row>
    <row r="278" spans="1:2">
      <c r="A278" s="531" t="s">
        <v>766</v>
      </c>
      <c r="B278" s="225" t="s">
        <v>1395</v>
      </c>
    </row>
    <row r="279" spans="1:2">
      <c r="A279" s="531" t="s">
        <v>767</v>
      </c>
      <c r="B279" s="225" t="s">
        <v>1396</v>
      </c>
    </row>
    <row r="280" spans="1:2">
      <c r="A280" s="531" t="s">
        <v>768</v>
      </c>
      <c r="B280" s="225" t="s">
        <v>1397</v>
      </c>
    </row>
    <row r="281" spans="1:2">
      <c r="A281" s="531" t="s">
        <v>769</v>
      </c>
      <c r="B281" s="225" t="s">
        <v>1398</v>
      </c>
    </row>
    <row r="282" spans="1:2">
      <c r="A282" s="531" t="s">
        <v>770</v>
      </c>
      <c r="B282" s="225" t="s">
        <v>1399</v>
      </c>
    </row>
    <row r="283" spans="1:2">
      <c r="B283" s="225"/>
    </row>
    <row r="284" spans="1:2">
      <c r="A284" s="531" t="s">
        <v>771</v>
      </c>
      <c r="B284" s="225" t="s">
        <v>1400</v>
      </c>
    </row>
    <row r="285" spans="1:2">
      <c r="A285" s="531" t="s">
        <v>772</v>
      </c>
      <c r="B285" s="225" t="s">
        <v>1401</v>
      </c>
    </row>
    <row r="286" spans="1:2">
      <c r="A286" s="531" t="s">
        <v>773</v>
      </c>
      <c r="B286" s="225" t="s">
        <v>1402</v>
      </c>
    </row>
    <row r="287" spans="1:2">
      <c r="A287" s="531" t="s">
        <v>774</v>
      </c>
      <c r="B287" s="225" t="s">
        <v>1403</v>
      </c>
    </row>
    <row r="288" spans="1:2">
      <c r="A288" s="531" t="s">
        <v>775</v>
      </c>
      <c r="B288" s="225" t="s">
        <v>1404</v>
      </c>
    </row>
    <row r="289" spans="1:2">
      <c r="A289" s="531" t="s">
        <v>776</v>
      </c>
      <c r="B289" s="225" t="s">
        <v>1405</v>
      </c>
    </row>
    <row r="290" spans="1:2">
      <c r="A290" s="531" t="s">
        <v>777</v>
      </c>
      <c r="B290" s="225" t="s">
        <v>1406</v>
      </c>
    </row>
    <row r="291" spans="1:2">
      <c r="A291" s="531" t="s">
        <v>778</v>
      </c>
      <c r="B291" s="225" t="s">
        <v>1407</v>
      </c>
    </row>
    <row r="292" spans="1:2">
      <c r="A292" s="531" t="s">
        <v>779</v>
      </c>
      <c r="B292" s="225" t="s">
        <v>1408</v>
      </c>
    </row>
    <row r="293" spans="1:2">
      <c r="A293" s="531" t="s">
        <v>780</v>
      </c>
      <c r="B293" s="225" t="s">
        <v>1409</v>
      </c>
    </row>
    <row r="294" spans="1:2">
      <c r="A294" s="531" t="s">
        <v>781</v>
      </c>
      <c r="B294" s="225" t="s">
        <v>1410</v>
      </c>
    </row>
    <row r="295" spans="1:2">
      <c r="B295" s="225"/>
    </row>
    <row r="296" spans="1:2">
      <c r="A296" s="531" t="s">
        <v>1411</v>
      </c>
      <c r="B296" s="225" t="s">
        <v>1417</v>
      </c>
    </row>
    <row r="297" spans="1:2">
      <c r="A297" s="531" t="s">
        <v>1412</v>
      </c>
      <c r="B297" s="225" t="s">
        <v>1418</v>
      </c>
    </row>
    <row r="298" spans="1:2">
      <c r="A298" s="531" t="s">
        <v>1413</v>
      </c>
      <c r="B298" s="225" t="s">
        <v>1419</v>
      </c>
    </row>
    <row r="299" spans="1:2">
      <c r="A299" s="531" t="s">
        <v>1414</v>
      </c>
      <c r="B299" s="225" t="s">
        <v>1420</v>
      </c>
    </row>
    <row r="300" spans="1:2">
      <c r="A300" s="531" t="s">
        <v>1415</v>
      </c>
      <c r="B300" s="225" t="s">
        <v>1421</v>
      </c>
    </row>
    <row r="301" spans="1:2">
      <c r="A301" s="531" t="s">
        <v>1416</v>
      </c>
      <c r="B301" s="225" t="s">
        <v>1422</v>
      </c>
    </row>
    <row r="302" spans="1:2">
      <c r="B302" s="225"/>
    </row>
    <row r="303" spans="1:2">
      <c r="A303" s="531" t="s">
        <v>1423</v>
      </c>
      <c r="B303" s="225" t="s">
        <v>1427</v>
      </c>
    </row>
    <row r="304" spans="1:2">
      <c r="A304" s="531" t="s">
        <v>1424</v>
      </c>
      <c r="B304" s="225" t="s">
        <v>1428</v>
      </c>
    </row>
    <row r="305" spans="1:2">
      <c r="A305" s="531" t="s">
        <v>1425</v>
      </c>
      <c r="B305" s="225" t="s">
        <v>1429</v>
      </c>
    </row>
    <row r="306" spans="1:2">
      <c r="A306" s="531" t="s">
        <v>1426</v>
      </c>
      <c r="B306" s="225"/>
    </row>
    <row r="307" spans="1:2">
      <c r="B307" s="225"/>
    </row>
    <row r="308" spans="1:2">
      <c r="A308" s="531" t="s">
        <v>1430</v>
      </c>
      <c r="B308" s="225" t="s">
        <v>1450</v>
      </c>
    </row>
    <row r="309" spans="1:2">
      <c r="A309" s="531" t="s">
        <v>1431</v>
      </c>
      <c r="B309" s="225" t="s">
        <v>1451</v>
      </c>
    </row>
    <row r="310" spans="1:2">
      <c r="A310" s="531" t="s">
        <v>1432</v>
      </c>
      <c r="B310" s="225" t="s">
        <v>1452</v>
      </c>
    </row>
    <row r="311" spans="1:2">
      <c r="A311" s="531" t="s">
        <v>1433</v>
      </c>
      <c r="B311" s="225" t="s">
        <v>1453</v>
      </c>
    </row>
    <row r="312" spans="1:2">
      <c r="A312" s="531" t="s">
        <v>1434</v>
      </c>
      <c r="B312" s="225" t="s">
        <v>1454</v>
      </c>
    </row>
    <row r="313" spans="1:2">
      <c r="A313" s="531" t="s">
        <v>1435</v>
      </c>
      <c r="B313" s="225" t="s">
        <v>1455</v>
      </c>
    </row>
    <row r="314" spans="1:2">
      <c r="A314" s="531" t="s">
        <v>1436</v>
      </c>
      <c r="B314" s="225" t="s">
        <v>1456</v>
      </c>
    </row>
    <row r="315" spans="1:2">
      <c r="A315" s="531" t="s">
        <v>1437</v>
      </c>
      <c r="B315" s="225" t="s">
        <v>1457</v>
      </c>
    </row>
    <row r="316" spans="1:2">
      <c r="A316" s="531" t="s">
        <v>1438</v>
      </c>
      <c r="B316" s="225" t="s">
        <v>1458</v>
      </c>
    </row>
    <row r="317" spans="1:2">
      <c r="A317" s="531" t="s">
        <v>1439</v>
      </c>
      <c r="B317" s="225" t="s">
        <v>1459</v>
      </c>
    </row>
    <row r="318" spans="1:2">
      <c r="A318" s="531" t="s">
        <v>1440</v>
      </c>
      <c r="B318" s="225" t="s">
        <v>1460</v>
      </c>
    </row>
    <row r="319" spans="1:2">
      <c r="A319" s="531" t="s">
        <v>1441</v>
      </c>
      <c r="B319" s="225" t="s">
        <v>1461</v>
      </c>
    </row>
    <row r="320" spans="1:2">
      <c r="A320" s="531" t="s">
        <v>1442</v>
      </c>
      <c r="B320" s="225" t="s">
        <v>1462</v>
      </c>
    </row>
    <row r="321" spans="1:2">
      <c r="A321" s="531" t="s">
        <v>1443</v>
      </c>
      <c r="B321" s="225" t="s">
        <v>1463</v>
      </c>
    </row>
    <row r="322" spans="1:2">
      <c r="A322" s="531" t="s">
        <v>1444</v>
      </c>
      <c r="B322" s="225" t="s">
        <v>1464</v>
      </c>
    </row>
    <row r="323" spans="1:2">
      <c r="A323" s="531" t="s">
        <v>1445</v>
      </c>
      <c r="B323" s="225" t="s">
        <v>1465</v>
      </c>
    </row>
    <row r="324" spans="1:2">
      <c r="A324" s="531" t="s">
        <v>1446</v>
      </c>
      <c r="B324" s="225" t="s">
        <v>1466</v>
      </c>
    </row>
    <row r="325" spans="1:2">
      <c r="A325" s="531" t="s">
        <v>1447</v>
      </c>
      <c r="B325" s="225" t="s">
        <v>1467</v>
      </c>
    </row>
    <row r="326" spans="1:2">
      <c r="A326" s="531" t="s">
        <v>1448</v>
      </c>
      <c r="B326" s="225" t="s">
        <v>1468</v>
      </c>
    </row>
    <row r="327" spans="1:2">
      <c r="A327" s="531" t="s">
        <v>1449</v>
      </c>
      <c r="B327" s="225" t="s">
        <v>1469</v>
      </c>
    </row>
    <row r="328" spans="1:2">
      <c r="B328" s="225"/>
    </row>
    <row r="329" spans="1:2">
      <c r="A329" s="531" t="s">
        <v>1470</v>
      </c>
      <c r="B329" s="225" t="s">
        <v>1477</v>
      </c>
    </row>
    <row r="330" spans="1:2">
      <c r="A330" s="531" t="s">
        <v>1471</v>
      </c>
      <c r="B330" s="225" t="s">
        <v>1478</v>
      </c>
    </row>
    <row r="331" spans="1:2">
      <c r="A331" s="531" t="s">
        <v>1472</v>
      </c>
      <c r="B331" s="225" t="s">
        <v>1479</v>
      </c>
    </row>
    <row r="332" spans="1:2">
      <c r="A332" s="531" t="s">
        <v>1473</v>
      </c>
      <c r="B332" s="225" t="s">
        <v>1480</v>
      </c>
    </row>
    <row r="333" spans="1:2">
      <c r="A333" s="531" t="s">
        <v>1474</v>
      </c>
      <c r="B333" s="225" t="s">
        <v>1481</v>
      </c>
    </row>
    <row r="334" spans="1:2">
      <c r="A334" s="531" t="s">
        <v>1475</v>
      </c>
      <c r="B334" s="225" t="s">
        <v>1482</v>
      </c>
    </row>
    <row r="335" spans="1:2">
      <c r="A335" s="531" t="s">
        <v>1476</v>
      </c>
      <c r="B335" s="225" t="s">
        <v>1483</v>
      </c>
    </row>
    <row r="336" spans="1:2">
      <c r="B336" s="225"/>
    </row>
    <row r="337" spans="1:2">
      <c r="A337" s="531" t="s">
        <v>1484</v>
      </c>
      <c r="B337" s="225" t="s">
        <v>1503</v>
      </c>
    </row>
    <row r="338" spans="1:2">
      <c r="A338" s="531" t="s">
        <v>1485</v>
      </c>
      <c r="B338" s="225" t="s">
        <v>1504</v>
      </c>
    </row>
    <row r="339" spans="1:2">
      <c r="A339" s="531" t="s">
        <v>1486</v>
      </c>
      <c r="B339" s="225" t="s">
        <v>1505</v>
      </c>
    </row>
    <row r="340" spans="1:2">
      <c r="A340" s="531" t="s">
        <v>1487</v>
      </c>
      <c r="B340" s="225" t="s">
        <v>1506</v>
      </c>
    </row>
    <row r="341" spans="1:2">
      <c r="A341" s="531" t="s">
        <v>1488</v>
      </c>
      <c r="B341" s="225" t="s">
        <v>1507</v>
      </c>
    </row>
    <row r="342" spans="1:2">
      <c r="A342" s="531" t="s">
        <v>1489</v>
      </c>
      <c r="B342" s="225" t="s">
        <v>1508</v>
      </c>
    </row>
    <row r="343" spans="1:2">
      <c r="A343" s="531" t="s">
        <v>1490</v>
      </c>
      <c r="B343" s="225" t="s">
        <v>1509</v>
      </c>
    </row>
    <row r="344" spans="1:2">
      <c r="A344" s="531" t="s">
        <v>1491</v>
      </c>
      <c r="B344" s="225" t="s">
        <v>1510</v>
      </c>
    </row>
    <row r="345" spans="1:2">
      <c r="A345" s="531" t="s">
        <v>1492</v>
      </c>
      <c r="B345" s="225" t="s">
        <v>1511</v>
      </c>
    </row>
    <row r="346" spans="1:2">
      <c r="A346" s="531" t="s">
        <v>1493</v>
      </c>
      <c r="B346" s="225" t="s">
        <v>1512</v>
      </c>
    </row>
    <row r="347" spans="1:2">
      <c r="A347" s="531" t="s">
        <v>1494</v>
      </c>
      <c r="B347" s="225" t="s">
        <v>1513</v>
      </c>
    </row>
    <row r="348" spans="1:2">
      <c r="A348" s="531" t="s">
        <v>1495</v>
      </c>
      <c r="B348" s="225" t="s">
        <v>1514</v>
      </c>
    </row>
    <row r="349" spans="1:2">
      <c r="A349" s="531" t="s">
        <v>1496</v>
      </c>
      <c r="B349" s="225" t="s">
        <v>1515</v>
      </c>
    </row>
    <row r="350" spans="1:2">
      <c r="A350" s="531" t="s">
        <v>1497</v>
      </c>
      <c r="B350" s="225" t="s">
        <v>1516</v>
      </c>
    </row>
    <row r="351" spans="1:2">
      <c r="A351" s="531" t="s">
        <v>1498</v>
      </c>
      <c r="B351" s="225" t="s">
        <v>1517</v>
      </c>
    </row>
    <row r="352" spans="1:2">
      <c r="A352" s="531" t="s">
        <v>1499</v>
      </c>
      <c r="B352" s="225" t="s">
        <v>1518</v>
      </c>
    </row>
    <row r="353" spans="1:2">
      <c r="A353" s="531" t="s">
        <v>1500</v>
      </c>
      <c r="B353" s="225" t="s">
        <v>1519</v>
      </c>
    </row>
    <row r="354" spans="1:2">
      <c r="A354" s="531" t="s">
        <v>1501</v>
      </c>
      <c r="B354" s="225" t="s">
        <v>1520</v>
      </c>
    </row>
    <row r="355" spans="1:2">
      <c r="A355" s="531" t="s">
        <v>1502</v>
      </c>
      <c r="B355" s="225" t="s">
        <v>1521</v>
      </c>
    </row>
    <row r="356" spans="1:2">
      <c r="B356" s="225"/>
    </row>
    <row r="357" spans="1:2">
      <c r="A357" s="531" t="s">
        <v>1522</v>
      </c>
      <c r="B357" s="225" t="s">
        <v>1529</v>
      </c>
    </row>
    <row r="358" spans="1:2">
      <c r="A358" s="531" t="s">
        <v>1523</v>
      </c>
      <c r="B358" s="225" t="s">
        <v>1530</v>
      </c>
    </row>
    <row r="359" spans="1:2">
      <c r="A359" s="531" t="s">
        <v>1524</v>
      </c>
      <c r="B359" s="225" t="s">
        <v>1531</v>
      </c>
    </row>
    <row r="360" spans="1:2">
      <c r="A360" s="531" t="s">
        <v>1525</v>
      </c>
      <c r="B360" s="225" t="s">
        <v>1532</v>
      </c>
    </row>
    <row r="361" spans="1:2">
      <c r="A361" s="531" t="s">
        <v>1526</v>
      </c>
      <c r="B361" s="225" t="s">
        <v>1533</v>
      </c>
    </row>
    <row r="362" spans="1:2">
      <c r="A362" s="531" t="s">
        <v>1527</v>
      </c>
      <c r="B362" s="225" t="s">
        <v>1534</v>
      </c>
    </row>
    <row r="363" spans="1:2">
      <c r="A363" s="531" t="s">
        <v>1528</v>
      </c>
      <c r="B363" s="225" t="s">
        <v>1535</v>
      </c>
    </row>
    <row r="364" spans="1:2">
      <c r="B364" s="225"/>
    </row>
    <row r="365" spans="1:2">
      <c r="A365" s="531" t="s">
        <v>1536</v>
      </c>
      <c r="B365" s="225" t="s">
        <v>1559</v>
      </c>
    </row>
    <row r="366" spans="1:2">
      <c r="A366" s="531" t="s">
        <v>1537</v>
      </c>
      <c r="B366" s="225" t="s">
        <v>1560</v>
      </c>
    </row>
    <row r="367" spans="1:2">
      <c r="A367" s="531" t="s">
        <v>1538</v>
      </c>
      <c r="B367" s="225" t="s">
        <v>1561</v>
      </c>
    </row>
    <row r="368" spans="1:2">
      <c r="A368" s="531" t="s">
        <v>1539</v>
      </c>
      <c r="B368" s="225" t="s">
        <v>1562</v>
      </c>
    </row>
    <row r="369" spans="1:2">
      <c r="A369" s="531" t="s">
        <v>1540</v>
      </c>
      <c r="B369" s="225" t="s">
        <v>1563</v>
      </c>
    </row>
    <row r="370" spans="1:2">
      <c r="A370" s="531" t="s">
        <v>1541</v>
      </c>
      <c r="B370" s="225" t="s">
        <v>1564</v>
      </c>
    </row>
    <row r="371" spans="1:2">
      <c r="A371" s="531" t="s">
        <v>1542</v>
      </c>
      <c r="B371" s="225" t="s">
        <v>1565</v>
      </c>
    </row>
    <row r="372" spans="1:2">
      <c r="A372" s="531" t="s">
        <v>1543</v>
      </c>
      <c r="B372" s="225" t="s">
        <v>1566</v>
      </c>
    </row>
    <row r="373" spans="1:2">
      <c r="A373" s="531" t="s">
        <v>1544</v>
      </c>
      <c r="B373" s="225" t="s">
        <v>1567</v>
      </c>
    </row>
    <row r="374" spans="1:2">
      <c r="A374" s="531" t="s">
        <v>1545</v>
      </c>
      <c r="B374" s="225" t="s">
        <v>1568</v>
      </c>
    </row>
    <row r="375" spans="1:2">
      <c r="A375" s="531" t="s">
        <v>1546</v>
      </c>
      <c r="B375" s="225" t="s">
        <v>1569</v>
      </c>
    </row>
    <row r="376" spans="1:2">
      <c r="A376" s="531" t="s">
        <v>1547</v>
      </c>
      <c r="B376" s="225" t="s">
        <v>1570</v>
      </c>
    </row>
    <row r="377" spans="1:2">
      <c r="A377" s="531" t="s">
        <v>1548</v>
      </c>
      <c r="B377" s="225" t="s">
        <v>1571</v>
      </c>
    </row>
    <row r="378" spans="1:2">
      <c r="A378" s="531" t="s">
        <v>1549</v>
      </c>
      <c r="B378" s="225" t="s">
        <v>1572</v>
      </c>
    </row>
    <row r="379" spans="1:2">
      <c r="A379" s="531" t="s">
        <v>1550</v>
      </c>
      <c r="B379" s="225" t="s">
        <v>1573</v>
      </c>
    </row>
    <row r="380" spans="1:2">
      <c r="A380" s="531" t="s">
        <v>1551</v>
      </c>
      <c r="B380" s="225" t="s">
        <v>1574</v>
      </c>
    </row>
    <row r="381" spans="1:2">
      <c r="A381" s="531" t="s">
        <v>1552</v>
      </c>
      <c r="B381" s="225" t="s">
        <v>1575</v>
      </c>
    </row>
    <row r="382" spans="1:2">
      <c r="A382" s="531" t="s">
        <v>1553</v>
      </c>
      <c r="B382" s="225" t="s">
        <v>1576</v>
      </c>
    </row>
    <row r="383" spans="1:2">
      <c r="A383" s="531" t="s">
        <v>1554</v>
      </c>
      <c r="B383" s="225" t="s">
        <v>1577</v>
      </c>
    </row>
    <row r="384" spans="1:2">
      <c r="A384" s="531" t="s">
        <v>1555</v>
      </c>
      <c r="B384" s="225" t="s">
        <v>1578</v>
      </c>
    </row>
    <row r="385" spans="1:2">
      <c r="A385" s="531" t="s">
        <v>1556</v>
      </c>
      <c r="B385" s="225" t="s">
        <v>1579</v>
      </c>
    </row>
    <row r="386" spans="1:2">
      <c r="A386" s="531" t="s">
        <v>1557</v>
      </c>
      <c r="B386" s="225" t="s">
        <v>1580</v>
      </c>
    </row>
    <row r="387" spans="1:2">
      <c r="A387" s="531" t="s">
        <v>1558</v>
      </c>
      <c r="B387" s="225" t="s">
        <v>1581</v>
      </c>
    </row>
    <row r="388" spans="1:2">
      <c r="B388" s="225"/>
    </row>
    <row r="389" spans="1:2">
      <c r="A389" s="531" t="s">
        <v>1107</v>
      </c>
      <c r="B389" s="225" t="s">
        <v>1121</v>
      </c>
    </row>
    <row r="390" spans="1:2">
      <c r="A390" s="531" t="s">
        <v>1108</v>
      </c>
      <c r="B390" s="225" t="s">
        <v>1121</v>
      </c>
    </row>
    <row r="391" spans="1:2">
      <c r="A391" s="531" t="s">
        <v>1109</v>
      </c>
      <c r="B391" s="225" t="s">
        <v>1121</v>
      </c>
    </row>
    <row r="392" spans="1:2">
      <c r="A392" s="531" t="s">
        <v>1110</v>
      </c>
      <c r="B392" s="225" t="s">
        <v>1121</v>
      </c>
    </row>
    <row r="393" spans="1:2">
      <c r="A393" s="531" t="s">
        <v>1111</v>
      </c>
      <c r="B393" s="225" t="s">
        <v>1121</v>
      </c>
    </row>
    <row r="394" spans="1:2">
      <c r="A394" s="531" t="s">
        <v>1112</v>
      </c>
      <c r="B394" s="225" t="s">
        <v>1121</v>
      </c>
    </row>
    <row r="395" spans="1:2">
      <c r="A395" s="531" t="s">
        <v>1113</v>
      </c>
      <c r="B395" s="225" t="s">
        <v>1121</v>
      </c>
    </row>
    <row r="396" spans="1:2">
      <c r="A396" s="531" t="s">
        <v>1114</v>
      </c>
      <c r="B396" s="225" t="s">
        <v>1121</v>
      </c>
    </row>
    <row r="397" spans="1:2">
      <c r="A397" s="531" t="s">
        <v>1115</v>
      </c>
      <c r="B397" s="225" t="s">
        <v>1121</v>
      </c>
    </row>
    <row r="398" spans="1:2">
      <c r="A398" s="531" t="s">
        <v>1116</v>
      </c>
      <c r="B398" s="225" t="s">
        <v>1121</v>
      </c>
    </row>
    <row r="399" spans="1:2">
      <c r="A399" s="531" t="s">
        <v>1117</v>
      </c>
      <c r="B399" s="225" t="s">
        <v>1121</v>
      </c>
    </row>
    <row r="400" spans="1:2">
      <c r="A400" s="531" t="s">
        <v>1118</v>
      </c>
      <c r="B400" s="225" t="s">
        <v>1121</v>
      </c>
    </row>
    <row r="401" spans="1:2">
      <c r="A401" s="531" t="s">
        <v>1119</v>
      </c>
      <c r="B401" s="225" t="s">
        <v>1121</v>
      </c>
    </row>
    <row r="402" spans="1:2">
      <c r="A402" s="531" t="s">
        <v>1120</v>
      </c>
      <c r="B402" s="225" t="s">
        <v>1121</v>
      </c>
    </row>
    <row r="403" spans="1:2">
      <c r="B403" s="225"/>
    </row>
    <row r="404" spans="1:2">
      <c r="A404" s="531" t="s">
        <v>1122</v>
      </c>
      <c r="B404" s="225" t="s">
        <v>1131</v>
      </c>
    </row>
    <row r="405" spans="1:2">
      <c r="A405" s="531" t="s">
        <v>1123</v>
      </c>
      <c r="B405" s="225" t="s">
        <v>1131</v>
      </c>
    </row>
    <row r="406" spans="1:2">
      <c r="A406" s="531" t="s">
        <v>1124</v>
      </c>
      <c r="B406" s="225" t="s">
        <v>1131</v>
      </c>
    </row>
    <row r="407" spans="1:2">
      <c r="A407" s="531" t="s">
        <v>1125</v>
      </c>
      <c r="B407" s="225" t="s">
        <v>1131</v>
      </c>
    </row>
    <row r="408" spans="1:2">
      <c r="A408" s="531" t="s">
        <v>1126</v>
      </c>
      <c r="B408" s="225" t="s">
        <v>1131</v>
      </c>
    </row>
    <row r="409" spans="1:2">
      <c r="A409" s="531" t="s">
        <v>1127</v>
      </c>
      <c r="B409" s="225" t="s">
        <v>1131</v>
      </c>
    </row>
    <row r="410" spans="1:2">
      <c r="A410" s="531" t="s">
        <v>1128</v>
      </c>
      <c r="B410" s="225" t="s">
        <v>1131</v>
      </c>
    </row>
    <row r="411" spans="1:2">
      <c r="A411" s="531" t="s">
        <v>1129</v>
      </c>
      <c r="B411" s="225" t="s">
        <v>1131</v>
      </c>
    </row>
    <row r="412" spans="1:2">
      <c r="A412" s="531" t="s">
        <v>1130</v>
      </c>
      <c r="B412" s="225" t="s">
        <v>1131</v>
      </c>
    </row>
    <row r="413" spans="1:2">
      <c r="B413" s="225"/>
    </row>
    <row r="414" spans="1:2">
      <c r="A414" s="531" t="s">
        <v>1132</v>
      </c>
      <c r="B414" s="225" t="s">
        <v>1140</v>
      </c>
    </row>
    <row r="415" spans="1:2">
      <c r="A415" s="531" t="s">
        <v>1133</v>
      </c>
      <c r="B415" s="225" t="s">
        <v>1140</v>
      </c>
    </row>
    <row r="416" spans="1:2">
      <c r="A416" s="531" t="s">
        <v>1134</v>
      </c>
      <c r="B416" s="225" t="s">
        <v>1140</v>
      </c>
    </row>
    <row r="417" spans="1:2">
      <c r="A417" s="531" t="s">
        <v>1135</v>
      </c>
      <c r="B417" s="225" t="s">
        <v>1140</v>
      </c>
    </row>
    <row r="418" spans="1:2">
      <c r="A418" s="531" t="s">
        <v>1136</v>
      </c>
      <c r="B418" s="225" t="s">
        <v>1140</v>
      </c>
    </row>
    <row r="419" spans="1:2">
      <c r="A419" s="531" t="s">
        <v>1137</v>
      </c>
      <c r="B419" s="225" t="s">
        <v>1140</v>
      </c>
    </row>
    <row r="420" spans="1:2">
      <c r="A420" s="531" t="s">
        <v>1138</v>
      </c>
      <c r="B420" s="225" t="s">
        <v>1140</v>
      </c>
    </row>
    <row r="421" spans="1:2">
      <c r="A421" s="531" t="s">
        <v>1139</v>
      </c>
      <c r="B421" s="225" t="s">
        <v>1140</v>
      </c>
    </row>
    <row r="422" spans="1:2">
      <c r="B422" s="225"/>
    </row>
    <row r="423" spans="1:2">
      <c r="A423" s="531" t="s">
        <v>1141</v>
      </c>
      <c r="B423" s="225" t="s">
        <v>1161</v>
      </c>
    </row>
    <row r="424" spans="1:2">
      <c r="A424" s="531" t="s">
        <v>1142</v>
      </c>
      <c r="B424" s="225" t="s">
        <v>1161</v>
      </c>
    </row>
    <row r="425" spans="1:2">
      <c r="A425" s="531" t="s">
        <v>1143</v>
      </c>
      <c r="B425" s="225" t="s">
        <v>1161</v>
      </c>
    </row>
    <row r="426" spans="1:2">
      <c r="A426" s="531" t="s">
        <v>1144</v>
      </c>
      <c r="B426" s="225" t="s">
        <v>1161</v>
      </c>
    </row>
    <row r="427" spans="1:2">
      <c r="A427" s="531" t="s">
        <v>1145</v>
      </c>
      <c r="B427" s="225" t="s">
        <v>1161</v>
      </c>
    </row>
    <row r="428" spans="1:2">
      <c r="A428" s="531" t="s">
        <v>1146</v>
      </c>
      <c r="B428" s="225" t="s">
        <v>1161</v>
      </c>
    </row>
    <row r="429" spans="1:2">
      <c r="A429" s="531" t="s">
        <v>1147</v>
      </c>
      <c r="B429" s="225" t="s">
        <v>1161</v>
      </c>
    </row>
    <row r="430" spans="1:2">
      <c r="A430" s="531" t="s">
        <v>1148</v>
      </c>
      <c r="B430" s="225" t="s">
        <v>1161</v>
      </c>
    </row>
    <row r="431" spans="1:2">
      <c r="A431" s="531" t="s">
        <v>1149</v>
      </c>
      <c r="B431" s="225" t="s">
        <v>1161</v>
      </c>
    </row>
    <row r="432" spans="1:2">
      <c r="A432" s="531" t="s">
        <v>1150</v>
      </c>
      <c r="B432" s="225" t="s">
        <v>1161</v>
      </c>
    </row>
    <row r="433" spans="1:2">
      <c r="B433" s="225"/>
    </row>
    <row r="434" spans="1:2">
      <c r="A434" s="531" t="s">
        <v>1151</v>
      </c>
      <c r="B434" s="225" t="s">
        <v>1162</v>
      </c>
    </row>
    <row r="435" spans="1:2">
      <c r="A435" s="531" t="s">
        <v>1152</v>
      </c>
      <c r="B435" s="225" t="s">
        <v>1162</v>
      </c>
    </row>
    <row r="436" spans="1:2">
      <c r="A436" s="531" t="s">
        <v>1153</v>
      </c>
      <c r="B436" s="225" t="s">
        <v>1162</v>
      </c>
    </row>
    <row r="437" spans="1:2">
      <c r="A437" s="531" t="s">
        <v>1154</v>
      </c>
      <c r="B437" s="225" t="s">
        <v>1162</v>
      </c>
    </row>
    <row r="438" spans="1:2">
      <c r="A438" s="531" t="s">
        <v>1155</v>
      </c>
      <c r="B438" s="225" t="s">
        <v>1162</v>
      </c>
    </row>
    <row r="439" spans="1:2">
      <c r="A439" s="531" t="s">
        <v>1156</v>
      </c>
      <c r="B439" s="225" t="s">
        <v>1162</v>
      </c>
    </row>
    <row r="440" spans="1:2">
      <c r="A440" s="531" t="s">
        <v>1157</v>
      </c>
      <c r="B440" s="225" t="s">
        <v>1162</v>
      </c>
    </row>
    <row r="441" spans="1:2">
      <c r="A441" s="531" t="s">
        <v>1158</v>
      </c>
      <c r="B441" s="225" t="s">
        <v>1162</v>
      </c>
    </row>
    <row r="442" spans="1:2">
      <c r="A442" s="531" t="s">
        <v>1159</v>
      </c>
      <c r="B442" s="225" t="s">
        <v>1162</v>
      </c>
    </row>
    <row r="443" spans="1:2">
      <c r="A443" s="531" t="s">
        <v>1160</v>
      </c>
      <c r="B443" s="225" t="s">
        <v>1162</v>
      </c>
    </row>
    <row r="444" spans="1:2">
      <c r="B444" s="225"/>
    </row>
    <row r="445" spans="1:2">
      <c r="A445" s="531" t="s">
        <v>1163</v>
      </c>
      <c r="B445" s="225" t="s">
        <v>1169</v>
      </c>
    </row>
    <row r="446" spans="1:2">
      <c r="A446" s="531" t="s">
        <v>1164</v>
      </c>
      <c r="B446" s="225" t="s">
        <v>1169</v>
      </c>
    </row>
    <row r="447" spans="1:2">
      <c r="A447" s="531" t="s">
        <v>1165</v>
      </c>
      <c r="B447" s="225" t="s">
        <v>1169</v>
      </c>
    </row>
    <row r="448" spans="1:2">
      <c r="A448" s="531" t="s">
        <v>1166</v>
      </c>
      <c r="B448" s="225" t="s">
        <v>1169</v>
      </c>
    </row>
    <row r="449" spans="1:2">
      <c r="A449" s="531" t="s">
        <v>1167</v>
      </c>
      <c r="B449" s="225" t="s">
        <v>1169</v>
      </c>
    </row>
    <row r="450" spans="1:2">
      <c r="A450" s="531" t="s">
        <v>1168</v>
      </c>
      <c r="B450" s="225" t="s">
        <v>1169</v>
      </c>
    </row>
    <row r="451" spans="1:2">
      <c r="B451" s="225"/>
    </row>
    <row r="452" spans="1:2">
      <c r="A452" s="531" t="s">
        <v>1170</v>
      </c>
      <c r="B452" s="225" t="s">
        <v>1176</v>
      </c>
    </row>
    <row r="453" spans="1:2">
      <c r="A453" s="531" t="s">
        <v>1171</v>
      </c>
      <c r="B453" s="225" t="s">
        <v>1176</v>
      </c>
    </row>
    <row r="454" spans="1:2">
      <c r="A454" s="531" t="s">
        <v>1172</v>
      </c>
      <c r="B454" s="225" t="s">
        <v>1176</v>
      </c>
    </row>
    <row r="455" spans="1:2">
      <c r="A455" s="531" t="s">
        <v>1173</v>
      </c>
      <c r="B455" s="225" t="s">
        <v>1176</v>
      </c>
    </row>
    <row r="456" spans="1:2">
      <c r="A456" s="531" t="s">
        <v>1174</v>
      </c>
      <c r="B456" s="225" t="s">
        <v>1176</v>
      </c>
    </row>
    <row r="457" spans="1:2">
      <c r="A457" s="531" t="s">
        <v>1175</v>
      </c>
      <c r="B457" s="225" t="s">
        <v>1176</v>
      </c>
    </row>
    <row r="458" spans="1:2">
      <c r="B458" s="225"/>
    </row>
    <row r="459" spans="1:2">
      <c r="A459" s="531" t="s">
        <v>1177</v>
      </c>
      <c r="B459" s="225" t="s">
        <v>1188</v>
      </c>
    </row>
    <row r="460" spans="1:2">
      <c r="A460" s="531" t="s">
        <v>1178</v>
      </c>
      <c r="B460" s="225" t="s">
        <v>1188</v>
      </c>
    </row>
    <row r="461" spans="1:2">
      <c r="A461" s="531" t="s">
        <v>1179</v>
      </c>
      <c r="B461" s="225" t="s">
        <v>1188</v>
      </c>
    </row>
    <row r="462" spans="1:2">
      <c r="A462" s="531" t="s">
        <v>1180</v>
      </c>
      <c r="B462" s="225" t="s">
        <v>1188</v>
      </c>
    </row>
    <row r="463" spans="1:2">
      <c r="A463" s="531" t="s">
        <v>1181</v>
      </c>
      <c r="B463" s="225" t="s">
        <v>1188</v>
      </c>
    </row>
    <row r="464" spans="1:2">
      <c r="A464" s="531" t="s">
        <v>1182</v>
      </c>
      <c r="B464" s="225" t="s">
        <v>1188</v>
      </c>
    </row>
    <row r="465" spans="1:2">
      <c r="A465" s="531" t="s">
        <v>1183</v>
      </c>
      <c r="B465" s="225" t="s">
        <v>1188</v>
      </c>
    </row>
    <row r="466" spans="1:2">
      <c r="B466" s="225"/>
    </row>
    <row r="467" spans="1:2">
      <c r="A467" s="531" t="s">
        <v>1184</v>
      </c>
      <c r="B467" s="225" t="s">
        <v>1189</v>
      </c>
    </row>
    <row r="468" spans="1:2">
      <c r="A468" s="531" t="s">
        <v>1185</v>
      </c>
      <c r="B468" s="225" t="s">
        <v>1189</v>
      </c>
    </row>
    <row r="469" spans="1:2">
      <c r="A469" s="531" t="s">
        <v>1186</v>
      </c>
      <c r="B469" s="225" t="s">
        <v>1189</v>
      </c>
    </row>
    <row r="470" spans="1:2">
      <c r="A470" s="531" t="s">
        <v>1187</v>
      </c>
      <c r="B470" s="225" t="s">
        <v>1189</v>
      </c>
    </row>
    <row r="471" spans="1:2">
      <c r="B471" s="225"/>
    </row>
    <row r="472" spans="1:2">
      <c r="A472" s="531" t="s">
        <v>1190</v>
      </c>
      <c r="B472" s="225" t="s">
        <v>1202</v>
      </c>
    </row>
    <row r="473" spans="1:2">
      <c r="A473" s="531" t="s">
        <v>1191</v>
      </c>
      <c r="B473" s="225" t="s">
        <v>1203</v>
      </c>
    </row>
    <row r="474" spans="1:2">
      <c r="A474" s="531" t="s">
        <v>1192</v>
      </c>
      <c r="B474" s="225" t="s">
        <v>1202</v>
      </c>
    </row>
    <row r="475" spans="1:2">
      <c r="A475" s="531" t="s">
        <v>1193</v>
      </c>
      <c r="B475" s="225" t="s">
        <v>1203</v>
      </c>
    </row>
    <row r="476" spans="1:2">
      <c r="A476" s="531" t="s">
        <v>1194</v>
      </c>
      <c r="B476" s="225" t="s">
        <v>1202</v>
      </c>
    </row>
    <row r="477" spans="1:2">
      <c r="A477" s="531" t="s">
        <v>1195</v>
      </c>
      <c r="B477" s="225" t="s">
        <v>1203</v>
      </c>
    </row>
    <row r="478" spans="1:2">
      <c r="A478" s="531" t="s">
        <v>1196</v>
      </c>
      <c r="B478" s="225" t="s">
        <v>1202</v>
      </c>
    </row>
    <row r="479" spans="1:2">
      <c r="A479" s="531" t="s">
        <v>1197</v>
      </c>
      <c r="B479" s="225" t="s">
        <v>1203</v>
      </c>
    </row>
    <row r="480" spans="1:2">
      <c r="A480" s="531" t="s">
        <v>1198</v>
      </c>
      <c r="B480" s="225" t="s">
        <v>1202</v>
      </c>
    </row>
    <row r="481" spans="1:2">
      <c r="A481" s="531" t="s">
        <v>1199</v>
      </c>
      <c r="B481" s="225" t="s">
        <v>1203</v>
      </c>
    </row>
    <row r="482" spans="1:2">
      <c r="A482" s="531" t="s">
        <v>1200</v>
      </c>
      <c r="B482" s="225" t="s">
        <v>1202</v>
      </c>
    </row>
    <row r="483" spans="1:2">
      <c r="A483" s="531" t="s">
        <v>1201</v>
      </c>
      <c r="B483" s="225" t="s">
        <v>1203</v>
      </c>
    </row>
    <row r="484" spans="1:2">
      <c r="B484" s="225"/>
    </row>
    <row r="485" spans="1:2">
      <c r="A485" s="531" t="s">
        <v>1204</v>
      </c>
      <c r="B485" s="225" t="s">
        <v>1318</v>
      </c>
    </row>
    <row r="486" spans="1:2">
      <c r="A486" s="531" t="s">
        <v>1205</v>
      </c>
      <c r="B486" s="225" t="s">
        <v>1319</v>
      </c>
    </row>
    <row r="487" spans="1:2">
      <c r="A487" s="531" t="s">
        <v>1206</v>
      </c>
      <c r="B487" s="225" t="s">
        <v>1320</v>
      </c>
    </row>
    <row r="488" spans="1:2">
      <c r="A488" s="531" t="s">
        <v>1207</v>
      </c>
      <c r="B488" s="225" t="s">
        <v>1321</v>
      </c>
    </row>
    <row r="489" spans="1:2">
      <c r="A489" s="531" t="s">
        <v>1208</v>
      </c>
      <c r="B489" s="225" t="s">
        <v>1322</v>
      </c>
    </row>
    <row r="490" spans="1:2">
      <c r="A490" s="531" t="s">
        <v>1209</v>
      </c>
      <c r="B490" s="225" t="s">
        <v>1323</v>
      </c>
    </row>
    <row r="491" spans="1:2">
      <c r="B491" s="225"/>
    </row>
    <row r="492" spans="1:2">
      <c r="A492" s="531" t="s">
        <v>1210</v>
      </c>
      <c r="B492" s="225" t="s">
        <v>1264</v>
      </c>
    </row>
    <row r="493" spans="1:2">
      <c r="A493" s="531" t="s">
        <v>1211</v>
      </c>
      <c r="B493" s="225" t="s">
        <v>1269</v>
      </c>
    </row>
    <row r="494" spans="1:2">
      <c r="A494" s="531" t="s">
        <v>1212</v>
      </c>
      <c r="B494" s="225" t="s">
        <v>1283</v>
      </c>
    </row>
    <row r="495" spans="1:2">
      <c r="A495" s="531" t="s">
        <v>1213</v>
      </c>
      <c r="B495" s="225" t="s">
        <v>1287</v>
      </c>
    </row>
    <row r="496" spans="1:2">
      <c r="A496" s="531" t="s">
        <v>1214</v>
      </c>
      <c r="B496" s="225" t="s">
        <v>1288</v>
      </c>
    </row>
    <row r="497" spans="1:2">
      <c r="A497" s="531" t="s">
        <v>1215</v>
      </c>
      <c r="B497" s="225" t="s">
        <v>1289</v>
      </c>
    </row>
    <row r="498" spans="1:2">
      <c r="B498" s="225"/>
    </row>
    <row r="499" spans="1:2">
      <c r="A499" s="531" t="s">
        <v>1216</v>
      </c>
      <c r="B499" s="225" t="s">
        <v>1312</v>
      </c>
    </row>
    <row r="500" spans="1:2">
      <c r="A500" s="531" t="s">
        <v>1217</v>
      </c>
      <c r="B500" s="225" t="s">
        <v>1313</v>
      </c>
    </row>
    <row r="501" spans="1:2">
      <c r="A501" s="531" t="s">
        <v>1218</v>
      </c>
      <c r="B501" s="225" t="s">
        <v>1314</v>
      </c>
    </row>
    <row r="502" spans="1:2">
      <c r="A502" s="531" t="s">
        <v>1219</v>
      </c>
      <c r="B502" s="225" t="s">
        <v>1315</v>
      </c>
    </row>
    <row r="503" spans="1:2">
      <c r="A503" s="531" t="s">
        <v>1220</v>
      </c>
      <c r="B503" s="225" t="s">
        <v>1316</v>
      </c>
    </row>
    <row r="504" spans="1:2">
      <c r="A504" s="531" t="s">
        <v>1221</v>
      </c>
      <c r="B504" s="225" t="s">
        <v>1317</v>
      </c>
    </row>
    <row r="505" spans="1:2">
      <c r="B505" s="225"/>
    </row>
    <row r="506" spans="1:2">
      <c r="A506" s="531" t="s">
        <v>1222</v>
      </c>
      <c r="B506" s="225" t="s">
        <v>1265</v>
      </c>
    </row>
    <row r="507" spans="1:2">
      <c r="A507" s="531" t="s">
        <v>1223</v>
      </c>
      <c r="B507" s="225" t="s">
        <v>1270</v>
      </c>
    </row>
    <row r="508" spans="1:2">
      <c r="A508" s="531" t="s">
        <v>1224</v>
      </c>
      <c r="B508" s="225" t="s">
        <v>1271</v>
      </c>
    </row>
    <row r="509" spans="1:2">
      <c r="A509" s="531" t="s">
        <v>1225</v>
      </c>
      <c r="B509" s="225" t="s">
        <v>1290</v>
      </c>
    </row>
    <row r="510" spans="1:2">
      <c r="A510" s="531" t="s">
        <v>1226</v>
      </c>
      <c r="B510" s="225" t="s">
        <v>1272</v>
      </c>
    </row>
    <row r="511" spans="1:2">
      <c r="A511" s="531" t="s">
        <v>1227</v>
      </c>
      <c r="B511" s="225" t="s">
        <v>1273</v>
      </c>
    </row>
    <row r="512" spans="1:2">
      <c r="B512" s="225"/>
    </row>
    <row r="513" spans="1:2">
      <c r="A513" s="531" t="s">
        <v>1228</v>
      </c>
      <c r="B513" s="225" t="s">
        <v>1306</v>
      </c>
    </row>
    <row r="514" spans="1:2">
      <c r="A514" s="531" t="s">
        <v>1229</v>
      </c>
      <c r="B514" s="225" t="s">
        <v>1307</v>
      </c>
    </row>
    <row r="515" spans="1:2">
      <c r="A515" s="531" t="s">
        <v>1230</v>
      </c>
      <c r="B515" s="225" t="s">
        <v>1308</v>
      </c>
    </row>
    <row r="516" spans="1:2">
      <c r="A516" s="531" t="s">
        <v>1231</v>
      </c>
      <c r="B516" s="225" t="s">
        <v>1309</v>
      </c>
    </row>
    <row r="517" spans="1:2">
      <c r="A517" s="531" t="s">
        <v>1232</v>
      </c>
      <c r="B517" s="225" t="s">
        <v>1310</v>
      </c>
    </row>
    <row r="518" spans="1:2">
      <c r="A518" s="531" t="s">
        <v>1233</v>
      </c>
      <c r="B518" s="225" t="s">
        <v>1311</v>
      </c>
    </row>
    <row r="519" spans="1:2">
      <c r="B519" s="225"/>
    </row>
    <row r="520" spans="1:2">
      <c r="A520" s="531" t="s">
        <v>1234</v>
      </c>
      <c r="B520" s="225" t="s">
        <v>1266</v>
      </c>
    </row>
    <row r="521" spans="1:2">
      <c r="A521" s="531" t="s">
        <v>1235</v>
      </c>
      <c r="B521" s="225" t="s">
        <v>1274</v>
      </c>
    </row>
    <row r="522" spans="1:2">
      <c r="A522" s="531" t="s">
        <v>1236</v>
      </c>
      <c r="B522" s="225" t="s">
        <v>1284</v>
      </c>
    </row>
    <row r="523" spans="1:2">
      <c r="A523" s="531" t="s">
        <v>1237</v>
      </c>
      <c r="B523" s="225" t="s">
        <v>1291</v>
      </c>
    </row>
    <row r="524" spans="1:2">
      <c r="A524" s="531" t="s">
        <v>1238</v>
      </c>
      <c r="B524" s="225" t="s">
        <v>1285</v>
      </c>
    </row>
    <row r="525" spans="1:2">
      <c r="A525" s="531" t="s">
        <v>1239</v>
      </c>
      <c r="B525" s="225" t="s">
        <v>1286</v>
      </c>
    </row>
    <row r="526" spans="1:2">
      <c r="B526" s="225"/>
    </row>
    <row r="527" spans="1:2">
      <c r="A527" s="531" t="s">
        <v>1240</v>
      </c>
      <c r="B527" s="225" t="s">
        <v>1300</v>
      </c>
    </row>
    <row r="528" spans="1:2">
      <c r="A528" s="531" t="s">
        <v>1241</v>
      </c>
      <c r="B528" s="225" t="s">
        <v>1301</v>
      </c>
    </row>
    <row r="529" spans="1:2">
      <c r="A529" s="531" t="s">
        <v>1242</v>
      </c>
      <c r="B529" s="225" t="s">
        <v>1302</v>
      </c>
    </row>
    <row r="530" spans="1:2">
      <c r="A530" s="531" t="s">
        <v>1243</v>
      </c>
      <c r="B530" s="225" t="s">
        <v>1303</v>
      </c>
    </row>
    <row r="531" spans="1:2">
      <c r="A531" s="531" t="s">
        <v>1244</v>
      </c>
      <c r="B531" s="225" t="s">
        <v>1304</v>
      </c>
    </row>
    <row r="532" spans="1:2">
      <c r="A532" s="531" t="s">
        <v>1245</v>
      </c>
      <c r="B532" s="225" t="s">
        <v>1305</v>
      </c>
    </row>
    <row r="533" spans="1:2">
      <c r="B533" s="225"/>
    </row>
    <row r="534" spans="1:2">
      <c r="A534" s="531" t="s">
        <v>1246</v>
      </c>
      <c r="B534" s="225" t="s">
        <v>1267</v>
      </c>
    </row>
    <row r="535" spans="1:2">
      <c r="A535" s="531" t="s">
        <v>1247</v>
      </c>
      <c r="B535" s="225" t="s">
        <v>1275</v>
      </c>
    </row>
    <row r="536" spans="1:2">
      <c r="A536" s="531" t="s">
        <v>1248</v>
      </c>
      <c r="B536" s="225" t="s">
        <v>1276</v>
      </c>
    </row>
    <row r="537" spans="1:2">
      <c r="A537" s="531" t="s">
        <v>1249</v>
      </c>
      <c r="B537" s="225" t="s">
        <v>1292</v>
      </c>
    </row>
    <row r="538" spans="1:2">
      <c r="A538" s="531" t="s">
        <v>1250</v>
      </c>
      <c r="B538" s="225" t="s">
        <v>1277</v>
      </c>
    </row>
    <row r="539" spans="1:2">
      <c r="A539" s="531" t="s">
        <v>1251</v>
      </c>
      <c r="B539" s="225" t="s">
        <v>1278</v>
      </c>
    </row>
    <row r="540" spans="1:2">
      <c r="B540" s="225"/>
    </row>
    <row r="541" spans="1:2">
      <c r="A541" s="531" t="s">
        <v>1252</v>
      </c>
      <c r="B541" s="225" t="s">
        <v>1297</v>
      </c>
    </row>
    <row r="542" spans="1:2">
      <c r="A542" s="531" t="s">
        <v>1253</v>
      </c>
      <c r="B542" s="225" t="s">
        <v>1298</v>
      </c>
    </row>
    <row r="543" spans="1:2">
      <c r="A543" s="531" t="s">
        <v>1254</v>
      </c>
      <c r="B543" s="225" t="s">
        <v>1299</v>
      </c>
    </row>
    <row r="544" spans="1:2">
      <c r="A544" s="531" t="s">
        <v>1255</v>
      </c>
      <c r="B544" s="225" t="s">
        <v>1296</v>
      </c>
    </row>
    <row r="545" spans="1:2">
      <c r="A545" s="531" t="s">
        <v>1256</v>
      </c>
      <c r="B545" s="225" t="s">
        <v>1295</v>
      </c>
    </row>
    <row r="546" spans="1:2">
      <c r="A546" s="531" t="s">
        <v>1257</v>
      </c>
      <c r="B546" s="225" t="s">
        <v>1294</v>
      </c>
    </row>
    <row r="547" spans="1:2">
      <c r="B547" s="225"/>
    </row>
    <row r="548" spans="1:2">
      <c r="A548" s="531" t="s">
        <v>1258</v>
      </c>
      <c r="B548" s="225" t="s">
        <v>1268</v>
      </c>
    </row>
    <row r="549" spans="1:2">
      <c r="A549" s="531" t="s">
        <v>1259</v>
      </c>
      <c r="B549" s="225" t="s">
        <v>1279</v>
      </c>
    </row>
    <row r="550" spans="1:2">
      <c r="A550" s="531" t="s">
        <v>1260</v>
      </c>
      <c r="B550" s="225" t="s">
        <v>1280</v>
      </c>
    </row>
    <row r="551" spans="1:2">
      <c r="A551" s="531" t="s">
        <v>1261</v>
      </c>
      <c r="B551" s="225" t="s">
        <v>1293</v>
      </c>
    </row>
    <row r="552" spans="1:2">
      <c r="A552" s="531" t="s">
        <v>1262</v>
      </c>
      <c r="B552" s="225" t="s">
        <v>1281</v>
      </c>
    </row>
    <row r="553" spans="1:2">
      <c r="A553" s="531" t="s">
        <v>1263</v>
      </c>
      <c r="B553" s="225" t="s">
        <v>1282</v>
      </c>
    </row>
    <row r="554" spans="1:2">
      <c r="B554" s="225"/>
    </row>
    <row r="555" spans="1:2">
      <c r="A555" s="531" t="s">
        <v>956</v>
      </c>
      <c r="B555" s="225" t="s">
        <v>1028</v>
      </c>
    </row>
    <row r="556" spans="1:2">
      <c r="A556" s="531" t="s">
        <v>961</v>
      </c>
      <c r="B556" s="225" t="s">
        <v>1028</v>
      </c>
    </row>
    <row r="557" spans="1:2">
      <c r="A557" s="531" t="s">
        <v>966</v>
      </c>
      <c r="B557" s="225" t="s">
        <v>1028</v>
      </c>
    </row>
    <row r="558" spans="1:2">
      <c r="A558" s="531" t="s">
        <v>972</v>
      </c>
      <c r="B558" s="225" t="s">
        <v>1028</v>
      </c>
    </row>
    <row r="559" spans="1:2">
      <c r="B559" s="225"/>
    </row>
    <row r="560" spans="1:2">
      <c r="A560" s="531" t="s">
        <v>948</v>
      </c>
      <c r="B560" s="225" t="s">
        <v>1030</v>
      </c>
    </row>
    <row r="561" spans="1:2">
      <c r="A561" s="531" t="s">
        <v>949</v>
      </c>
      <c r="B561" s="225" t="s">
        <v>1030</v>
      </c>
    </row>
    <row r="562" spans="1:2">
      <c r="A562" s="531" t="s">
        <v>950</v>
      </c>
      <c r="B562" s="225" t="s">
        <v>1030</v>
      </c>
    </row>
    <row r="563" spans="1:2">
      <c r="A563" s="531" t="s">
        <v>951</v>
      </c>
      <c r="B563" s="225" t="s">
        <v>1030</v>
      </c>
    </row>
    <row r="564" spans="1:2">
      <c r="A564" s="531" t="s">
        <v>952</v>
      </c>
      <c r="B564" s="225" t="s">
        <v>1030</v>
      </c>
    </row>
    <row r="565" spans="1:2">
      <c r="A565" s="531" t="s">
        <v>953</v>
      </c>
      <c r="B565" s="225" t="s">
        <v>1030</v>
      </c>
    </row>
    <row r="566" spans="1:2">
      <c r="A566" s="531" t="s">
        <v>954</v>
      </c>
      <c r="B566" s="225" t="s">
        <v>1030</v>
      </c>
    </row>
    <row r="567" spans="1:2">
      <c r="A567" s="531" t="s">
        <v>955</v>
      </c>
      <c r="B567" s="225" t="s">
        <v>1030</v>
      </c>
    </row>
    <row r="568" spans="1:2">
      <c r="A568" s="531" t="s">
        <v>957</v>
      </c>
      <c r="B568" s="225" t="s">
        <v>1030</v>
      </c>
    </row>
    <row r="569" spans="1:2">
      <c r="A569" s="531" t="s">
        <v>958</v>
      </c>
      <c r="B569" s="225" t="s">
        <v>1030</v>
      </c>
    </row>
    <row r="570" spans="1:2">
      <c r="A570" s="531" t="s">
        <v>959</v>
      </c>
      <c r="B570" s="225" t="s">
        <v>1030</v>
      </c>
    </row>
    <row r="571" spans="1:2">
      <c r="A571" s="531" t="s">
        <v>960</v>
      </c>
      <c r="B571" s="225" t="s">
        <v>1030</v>
      </c>
    </row>
    <row r="572" spans="1:2">
      <c r="A572" s="531" t="s">
        <v>962</v>
      </c>
      <c r="B572" s="225" t="s">
        <v>1030</v>
      </c>
    </row>
    <row r="573" spans="1:2">
      <c r="A573" s="531" t="s">
        <v>963</v>
      </c>
      <c r="B573" s="225" t="s">
        <v>1030</v>
      </c>
    </row>
    <row r="574" spans="1:2">
      <c r="A574" s="531" t="s">
        <v>964</v>
      </c>
      <c r="B574" s="225" t="s">
        <v>1030</v>
      </c>
    </row>
    <row r="575" spans="1:2">
      <c r="A575" s="531" t="s">
        <v>965</v>
      </c>
      <c r="B575" s="225" t="s">
        <v>1030</v>
      </c>
    </row>
    <row r="576" spans="1:2">
      <c r="A576" s="531" t="s">
        <v>967</v>
      </c>
      <c r="B576" s="225" t="s">
        <v>1030</v>
      </c>
    </row>
    <row r="577" spans="1:2">
      <c r="A577" s="531" t="s">
        <v>968</v>
      </c>
      <c r="B577" s="225" t="s">
        <v>1030</v>
      </c>
    </row>
    <row r="578" spans="1:2">
      <c r="A578" s="531" t="s">
        <v>969</v>
      </c>
      <c r="B578" s="225" t="s">
        <v>1030</v>
      </c>
    </row>
    <row r="579" spans="1:2">
      <c r="A579" s="531" t="s">
        <v>970</v>
      </c>
      <c r="B579" s="225" t="s">
        <v>1030</v>
      </c>
    </row>
    <row r="580" spans="1:2">
      <c r="A580" s="531" t="s">
        <v>971</v>
      </c>
      <c r="B580" s="225" t="s">
        <v>1030</v>
      </c>
    </row>
    <row r="581" spans="1:2">
      <c r="B581" s="225"/>
    </row>
    <row r="582" spans="1:2">
      <c r="A582" s="531" t="s">
        <v>978</v>
      </c>
      <c r="B582" s="225" t="s">
        <v>1029</v>
      </c>
    </row>
    <row r="583" spans="1:2">
      <c r="A583" s="531" t="s">
        <v>979</v>
      </c>
      <c r="B583" s="225" t="s">
        <v>1029</v>
      </c>
    </row>
    <row r="584" spans="1:2">
      <c r="A584" s="531" t="s">
        <v>984</v>
      </c>
      <c r="B584" s="225" t="s">
        <v>1029</v>
      </c>
    </row>
    <row r="585" spans="1:2">
      <c r="A585" s="531" t="s">
        <v>985</v>
      </c>
      <c r="B585" s="225" t="s">
        <v>1029</v>
      </c>
    </row>
    <row r="586" spans="1:2">
      <c r="A586" s="531" t="s">
        <v>990</v>
      </c>
      <c r="B586" s="225" t="s">
        <v>1029</v>
      </c>
    </row>
    <row r="587" spans="1:2">
      <c r="A587" s="531" t="s">
        <v>991</v>
      </c>
      <c r="B587" s="225" t="s">
        <v>1029</v>
      </c>
    </row>
    <row r="588" spans="1:2">
      <c r="A588" s="531" t="s">
        <v>996</v>
      </c>
      <c r="B588" s="225" t="s">
        <v>1029</v>
      </c>
    </row>
    <row r="589" spans="1:2">
      <c r="A589" s="531" t="s">
        <v>997</v>
      </c>
      <c r="B589" s="225" t="s">
        <v>1029</v>
      </c>
    </row>
    <row r="590" spans="1:2">
      <c r="A590" s="531" t="s">
        <v>1002</v>
      </c>
      <c r="B590" s="225" t="s">
        <v>1029</v>
      </c>
    </row>
    <row r="591" spans="1:2">
      <c r="A591" s="531" t="s">
        <v>1003</v>
      </c>
      <c r="B591" s="225" t="s">
        <v>1029</v>
      </c>
    </row>
    <row r="592" spans="1:2">
      <c r="A592" s="531" t="s">
        <v>1008</v>
      </c>
      <c r="B592" s="225" t="s">
        <v>1029</v>
      </c>
    </row>
    <row r="593" spans="1:2">
      <c r="A593" s="531" t="s">
        <v>1009</v>
      </c>
      <c r="B593" s="225" t="s">
        <v>1029</v>
      </c>
    </row>
    <row r="594" spans="1:2">
      <c r="A594" s="531" t="s">
        <v>1014</v>
      </c>
      <c r="B594" s="225" t="s">
        <v>1029</v>
      </c>
    </row>
    <row r="595" spans="1:2">
      <c r="A595" s="531" t="s">
        <v>1015</v>
      </c>
      <c r="B595" s="225" t="s">
        <v>1029</v>
      </c>
    </row>
    <row r="596" spans="1:2">
      <c r="A596" s="531" t="s">
        <v>1020</v>
      </c>
      <c r="B596" s="225" t="s">
        <v>1029</v>
      </c>
    </row>
    <row r="597" spans="1:2">
      <c r="A597" s="531" t="s">
        <v>1021</v>
      </c>
      <c r="B597" s="225" t="s">
        <v>1029</v>
      </c>
    </row>
    <row r="598" spans="1:2">
      <c r="A598" s="531" t="s">
        <v>1026</v>
      </c>
      <c r="B598" s="225" t="s">
        <v>1029</v>
      </c>
    </row>
    <row r="599" spans="1:2">
      <c r="A599" s="531" t="s">
        <v>1027</v>
      </c>
      <c r="B599" s="225" t="s">
        <v>1029</v>
      </c>
    </row>
    <row r="600" spans="1:2">
      <c r="B600" s="225"/>
    </row>
    <row r="601" spans="1:2">
      <c r="A601" s="531" t="s">
        <v>973</v>
      </c>
      <c r="B601" s="225" t="s">
        <v>1031</v>
      </c>
    </row>
    <row r="602" spans="1:2">
      <c r="A602" s="531" t="s">
        <v>974</v>
      </c>
      <c r="B602" s="225" t="s">
        <v>1031</v>
      </c>
    </row>
    <row r="603" spans="1:2">
      <c r="A603" s="531" t="s">
        <v>975</v>
      </c>
      <c r="B603" s="225" t="s">
        <v>1031</v>
      </c>
    </row>
    <row r="604" spans="1:2">
      <c r="A604" s="531" t="s">
        <v>976</v>
      </c>
      <c r="B604" s="225" t="s">
        <v>1031</v>
      </c>
    </row>
    <row r="605" spans="1:2">
      <c r="A605" s="531" t="s">
        <v>977</v>
      </c>
      <c r="B605" s="225" t="s">
        <v>1031</v>
      </c>
    </row>
    <row r="606" spans="1:2">
      <c r="A606" s="531" t="s">
        <v>980</v>
      </c>
      <c r="B606" s="225" t="s">
        <v>1031</v>
      </c>
    </row>
    <row r="607" spans="1:2">
      <c r="A607" s="531" t="s">
        <v>981</v>
      </c>
      <c r="B607" s="225" t="s">
        <v>1031</v>
      </c>
    </row>
    <row r="608" spans="1:2">
      <c r="A608" s="531" t="s">
        <v>982</v>
      </c>
      <c r="B608" s="225" t="s">
        <v>1031</v>
      </c>
    </row>
    <row r="609" spans="1:2">
      <c r="A609" s="531" t="s">
        <v>983</v>
      </c>
      <c r="B609" s="225" t="s">
        <v>1031</v>
      </c>
    </row>
    <row r="610" spans="1:2">
      <c r="A610" s="531" t="s">
        <v>986</v>
      </c>
      <c r="B610" s="225" t="s">
        <v>1031</v>
      </c>
    </row>
    <row r="611" spans="1:2">
      <c r="A611" s="531" t="s">
        <v>987</v>
      </c>
      <c r="B611" s="225" t="s">
        <v>1031</v>
      </c>
    </row>
    <row r="612" spans="1:2">
      <c r="A612" s="531" t="s">
        <v>988</v>
      </c>
      <c r="B612" s="225" t="s">
        <v>1031</v>
      </c>
    </row>
    <row r="613" spans="1:2">
      <c r="A613" s="531" t="s">
        <v>989</v>
      </c>
      <c r="B613" s="225" t="s">
        <v>1031</v>
      </c>
    </row>
    <row r="614" spans="1:2">
      <c r="A614" s="531" t="s">
        <v>992</v>
      </c>
      <c r="B614" s="225" t="s">
        <v>1031</v>
      </c>
    </row>
    <row r="615" spans="1:2">
      <c r="A615" s="531" t="s">
        <v>993</v>
      </c>
      <c r="B615" s="225" t="s">
        <v>1031</v>
      </c>
    </row>
    <row r="616" spans="1:2">
      <c r="A616" s="531" t="s">
        <v>994</v>
      </c>
      <c r="B616" s="225" t="s">
        <v>1031</v>
      </c>
    </row>
    <row r="617" spans="1:2">
      <c r="A617" s="531" t="s">
        <v>995</v>
      </c>
      <c r="B617" s="225" t="s">
        <v>1031</v>
      </c>
    </row>
    <row r="618" spans="1:2">
      <c r="A618" s="531" t="s">
        <v>998</v>
      </c>
      <c r="B618" s="225" t="s">
        <v>1031</v>
      </c>
    </row>
    <row r="619" spans="1:2">
      <c r="A619" s="531" t="s">
        <v>999</v>
      </c>
      <c r="B619" s="225" t="s">
        <v>1031</v>
      </c>
    </row>
    <row r="620" spans="1:2">
      <c r="A620" s="531" t="s">
        <v>1000</v>
      </c>
      <c r="B620" s="225" t="s">
        <v>1031</v>
      </c>
    </row>
    <row r="621" spans="1:2">
      <c r="A621" s="531" t="s">
        <v>1001</v>
      </c>
      <c r="B621" s="225" t="s">
        <v>1031</v>
      </c>
    </row>
    <row r="622" spans="1:2">
      <c r="A622" s="531" t="s">
        <v>1004</v>
      </c>
      <c r="B622" s="225" t="s">
        <v>1031</v>
      </c>
    </row>
    <row r="623" spans="1:2">
      <c r="A623" s="531" t="s">
        <v>1005</v>
      </c>
      <c r="B623" s="225" t="s">
        <v>1031</v>
      </c>
    </row>
    <row r="624" spans="1:2">
      <c r="A624" s="531" t="s">
        <v>1006</v>
      </c>
      <c r="B624" s="225" t="s">
        <v>1031</v>
      </c>
    </row>
    <row r="625" spans="1:2">
      <c r="A625" s="531" t="s">
        <v>1007</v>
      </c>
      <c r="B625" s="225" t="s">
        <v>1031</v>
      </c>
    </row>
    <row r="626" spans="1:2">
      <c r="A626" s="531" t="s">
        <v>1010</v>
      </c>
      <c r="B626" s="225" t="s">
        <v>1031</v>
      </c>
    </row>
    <row r="627" spans="1:2">
      <c r="A627" s="531" t="s">
        <v>1011</v>
      </c>
      <c r="B627" s="225" t="s">
        <v>1031</v>
      </c>
    </row>
    <row r="628" spans="1:2">
      <c r="A628" s="531" t="s">
        <v>1012</v>
      </c>
      <c r="B628" s="225" t="s">
        <v>1031</v>
      </c>
    </row>
    <row r="629" spans="1:2">
      <c r="A629" s="531" t="s">
        <v>1013</v>
      </c>
      <c r="B629" s="225" t="s">
        <v>1031</v>
      </c>
    </row>
    <row r="630" spans="1:2">
      <c r="A630" s="531" t="s">
        <v>1016</v>
      </c>
      <c r="B630" s="225" t="s">
        <v>1031</v>
      </c>
    </row>
    <row r="631" spans="1:2">
      <c r="A631" s="531" t="s">
        <v>1017</v>
      </c>
      <c r="B631" s="225" t="s">
        <v>1031</v>
      </c>
    </row>
    <row r="632" spans="1:2">
      <c r="A632" s="531" t="s">
        <v>1018</v>
      </c>
      <c r="B632" s="225" t="s">
        <v>1031</v>
      </c>
    </row>
    <row r="633" spans="1:2">
      <c r="A633" s="531" t="s">
        <v>1019</v>
      </c>
      <c r="B633" s="225" t="s">
        <v>1031</v>
      </c>
    </row>
    <row r="634" spans="1:2">
      <c r="A634" s="531" t="s">
        <v>1022</v>
      </c>
      <c r="B634" s="225" t="s">
        <v>1031</v>
      </c>
    </row>
    <row r="635" spans="1:2">
      <c r="A635" s="531" t="s">
        <v>1023</v>
      </c>
      <c r="B635" s="225" t="s">
        <v>1031</v>
      </c>
    </row>
    <row r="636" spans="1:2">
      <c r="A636" s="531" t="s">
        <v>1024</v>
      </c>
      <c r="B636" s="225" t="s">
        <v>1031</v>
      </c>
    </row>
    <row r="637" spans="1:2">
      <c r="A637" s="531" t="s">
        <v>1025</v>
      </c>
      <c r="B637" s="225" t="s">
        <v>1031</v>
      </c>
    </row>
    <row r="638" spans="1:2">
      <c r="B638" s="225"/>
    </row>
    <row r="639" spans="1:2">
      <c r="A639" s="531" t="s">
        <v>920</v>
      </c>
      <c r="B639" s="225" t="s">
        <v>945</v>
      </c>
    </row>
    <row r="640" spans="1:2">
      <c r="A640" s="531" t="s">
        <v>921</v>
      </c>
      <c r="B640" s="225" t="s">
        <v>945</v>
      </c>
    </row>
    <row r="641" spans="1:2">
      <c r="A641" s="531" t="s">
        <v>940</v>
      </c>
      <c r="B641" s="225" t="s">
        <v>945</v>
      </c>
    </row>
    <row r="642" spans="1:2">
      <c r="A642" s="531" t="s">
        <v>941</v>
      </c>
      <c r="B642" s="225" t="s">
        <v>945</v>
      </c>
    </row>
    <row r="643" spans="1:2">
      <c r="A643" s="531" t="s">
        <v>942</v>
      </c>
      <c r="B643" s="225" t="s">
        <v>945</v>
      </c>
    </row>
    <row r="644" spans="1:2">
      <c r="A644" s="531" t="s">
        <v>943</v>
      </c>
      <c r="B644" s="225" t="s">
        <v>945</v>
      </c>
    </row>
    <row r="645" spans="1:2">
      <c r="A645" s="531" t="s">
        <v>944</v>
      </c>
      <c r="B645" s="225" t="s">
        <v>945</v>
      </c>
    </row>
    <row r="646" spans="1:2">
      <c r="B646" s="225"/>
    </row>
    <row r="647" spans="1:2">
      <c r="A647" s="531" t="s">
        <v>922</v>
      </c>
      <c r="B647" s="225" t="s">
        <v>946</v>
      </c>
    </row>
    <row r="648" spans="1:2">
      <c r="A648" s="531" t="s">
        <v>924</v>
      </c>
      <c r="B648" s="225" t="s">
        <v>946</v>
      </c>
    </row>
    <row r="649" spans="1:2">
      <c r="A649" s="531" t="s">
        <v>926</v>
      </c>
      <c r="B649" s="225" t="s">
        <v>946</v>
      </c>
    </row>
    <row r="650" spans="1:2">
      <c r="A650" s="531" t="s">
        <v>928</v>
      </c>
      <c r="B650" s="225" t="s">
        <v>946</v>
      </c>
    </row>
    <row r="651" spans="1:2">
      <c r="A651" s="531" t="s">
        <v>930</v>
      </c>
      <c r="B651" s="225" t="s">
        <v>946</v>
      </c>
    </row>
    <row r="652" spans="1:2">
      <c r="A652" s="531" t="s">
        <v>932</v>
      </c>
      <c r="B652" s="225" t="s">
        <v>946</v>
      </c>
    </row>
    <row r="653" spans="1:2">
      <c r="A653" s="531" t="s">
        <v>934</v>
      </c>
      <c r="B653" s="225" t="s">
        <v>946</v>
      </c>
    </row>
    <row r="654" spans="1:2">
      <c r="A654" s="531" t="s">
        <v>936</v>
      </c>
      <c r="B654" s="225" t="s">
        <v>946</v>
      </c>
    </row>
    <row r="655" spans="1:2">
      <c r="A655" s="531" t="s">
        <v>938</v>
      </c>
      <c r="B655" s="225" t="s">
        <v>946</v>
      </c>
    </row>
    <row r="656" spans="1:2">
      <c r="B656" s="225"/>
    </row>
    <row r="657" spans="1:2">
      <c r="A657" s="531" t="s">
        <v>923</v>
      </c>
      <c r="B657" s="225" t="s">
        <v>947</v>
      </c>
    </row>
    <row r="658" spans="1:2">
      <c r="A658" s="531" t="s">
        <v>925</v>
      </c>
      <c r="B658" s="225" t="s">
        <v>947</v>
      </c>
    </row>
    <row r="659" spans="1:2">
      <c r="A659" s="531" t="s">
        <v>927</v>
      </c>
      <c r="B659" s="225" t="s">
        <v>947</v>
      </c>
    </row>
    <row r="660" spans="1:2">
      <c r="A660" s="531" t="s">
        <v>929</v>
      </c>
      <c r="B660" s="225" t="s">
        <v>947</v>
      </c>
    </row>
    <row r="661" spans="1:2">
      <c r="A661" s="531" t="s">
        <v>931</v>
      </c>
      <c r="B661" s="225" t="s">
        <v>947</v>
      </c>
    </row>
    <row r="662" spans="1:2">
      <c r="A662" s="531" t="s">
        <v>933</v>
      </c>
      <c r="B662" s="225" t="s">
        <v>947</v>
      </c>
    </row>
    <row r="663" spans="1:2">
      <c r="A663" s="531" t="s">
        <v>935</v>
      </c>
      <c r="B663" s="225" t="s">
        <v>947</v>
      </c>
    </row>
    <row r="664" spans="1:2">
      <c r="A664" s="531" t="s">
        <v>937</v>
      </c>
      <c r="B664" s="225" t="s">
        <v>947</v>
      </c>
    </row>
    <row r="665" spans="1:2">
      <c r="A665" s="531" t="s">
        <v>939</v>
      </c>
      <c r="B665" s="225" t="s">
        <v>947</v>
      </c>
    </row>
    <row r="667" spans="1:2">
      <c r="A667" s="531" t="s">
        <v>799</v>
      </c>
      <c r="B667" s="531" t="s">
        <v>808</v>
      </c>
    </row>
    <row r="668" spans="1:2">
      <c r="A668" s="531" t="s">
        <v>800</v>
      </c>
      <c r="B668" s="531" t="s">
        <v>808</v>
      </c>
    </row>
    <row r="669" spans="1:2">
      <c r="A669" s="531" t="s">
        <v>801</v>
      </c>
      <c r="B669" s="531" t="s">
        <v>808</v>
      </c>
    </row>
    <row r="670" spans="1:2">
      <c r="A670" s="531" t="s">
        <v>802</v>
      </c>
      <c r="B670" s="531" t="s">
        <v>808</v>
      </c>
    </row>
    <row r="671" spans="1:2">
      <c r="A671" s="531" t="s">
        <v>803</v>
      </c>
      <c r="B671" s="531" t="s">
        <v>808</v>
      </c>
    </row>
    <row r="672" spans="1:2">
      <c r="A672" s="531" t="s">
        <v>804</v>
      </c>
      <c r="B672" s="531" t="s">
        <v>808</v>
      </c>
    </row>
    <row r="673" spans="1:2">
      <c r="A673" s="531" t="s">
        <v>805</v>
      </c>
      <c r="B673" s="531" t="s">
        <v>808</v>
      </c>
    </row>
    <row r="674" spans="1:2">
      <c r="A674" s="531" t="s">
        <v>806</v>
      </c>
      <c r="B674" s="531" t="s">
        <v>808</v>
      </c>
    </row>
    <row r="675" spans="1:2">
      <c r="A675" s="531" t="s">
        <v>807</v>
      </c>
      <c r="B675" s="531" t="s">
        <v>808</v>
      </c>
    </row>
    <row r="677" spans="1:2">
      <c r="A677" s="531" t="s">
        <v>1032</v>
      </c>
      <c r="B677" s="531" t="s">
        <v>1068</v>
      </c>
    </row>
    <row r="678" spans="1:2">
      <c r="A678" s="531" t="s">
        <v>1035</v>
      </c>
      <c r="B678" s="531" t="s">
        <v>1068</v>
      </c>
    </row>
    <row r="679" spans="1:2">
      <c r="A679" s="531" t="s">
        <v>1038</v>
      </c>
      <c r="B679" s="531" t="s">
        <v>1068</v>
      </c>
    </row>
    <row r="680" spans="1:2">
      <c r="A680" s="531" t="s">
        <v>1041</v>
      </c>
      <c r="B680" s="531" t="s">
        <v>1068</v>
      </c>
    </row>
    <row r="681" spans="1:2">
      <c r="A681" s="531" t="s">
        <v>1044</v>
      </c>
      <c r="B681" s="531" t="s">
        <v>1068</v>
      </c>
    </row>
    <row r="682" spans="1:2">
      <c r="A682" s="531" t="s">
        <v>1047</v>
      </c>
      <c r="B682" s="531" t="s">
        <v>1068</v>
      </c>
    </row>
    <row r="684" spans="1:2">
      <c r="A684" s="531" t="s">
        <v>1033</v>
      </c>
      <c r="B684" s="531" t="s">
        <v>1069</v>
      </c>
    </row>
    <row r="685" spans="1:2">
      <c r="A685" s="531" t="s">
        <v>1034</v>
      </c>
      <c r="B685" s="531" t="s">
        <v>1069</v>
      </c>
    </row>
    <row r="686" spans="1:2">
      <c r="A686" s="531" t="s">
        <v>1070</v>
      </c>
      <c r="B686" s="531" t="s">
        <v>1069</v>
      </c>
    </row>
    <row r="687" spans="1:2">
      <c r="A687" s="531" t="s">
        <v>1036</v>
      </c>
      <c r="B687" s="531" t="s">
        <v>1069</v>
      </c>
    </row>
    <row r="688" spans="1:2">
      <c r="A688" s="531" t="s">
        <v>1037</v>
      </c>
      <c r="B688" s="531" t="s">
        <v>1069</v>
      </c>
    </row>
    <row r="689" spans="1:2">
      <c r="A689" s="531" t="s">
        <v>1071</v>
      </c>
      <c r="B689" s="531" t="s">
        <v>1069</v>
      </c>
    </row>
    <row r="690" spans="1:2">
      <c r="A690" s="531" t="s">
        <v>1039</v>
      </c>
      <c r="B690" s="531" t="s">
        <v>1069</v>
      </c>
    </row>
    <row r="691" spans="1:2">
      <c r="A691" s="531" t="s">
        <v>1040</v>
      </c>
      <c r="B691" s="531" t="s">
        <v>1069</v>
      </c>
    </row>
    <row r="692" spans="1:2">
      <c r="A692" s="531" t="s">
        <v>1072</v>
      </c>
      <c r="B692" s="531" t="s">
        <v>1069</v>
      </c>
    </row>
    <row r="693" spans="1:2">
      <c r="A693" s="531" t="s">
        <v>1042</v>
      </c>
      <c r="B693" s="531" t="s">
        <v>1069</v>
      </c>
    </row>
    <row r="694" spans="1:2">
      <c r="A694" s="531" t="s">
        <v>1043</v>
      </c>
      <c r="B694" s="531" t="s">
        <v>1069</v>
      </c>
    </row>
    <row r="695" spans="1:2">
      <c r="A695" s="531" t="s">
        <v>1073</v>
      </c>
      <c r="B695" s="531" t="s">
        <v>1069</v>
      </c>
    </row>
    <row r="696" spans="1:2">
      <c r="A696" s="531" t="s">
        <v>1045</v>
      </c>
      <c r="B696" s="531" t="s">
        <v>1069</v>
      </c>
    </row>
    <row r="697" spans="1:2">
      <c r="A697" s="531" t="s">
        <v>1046</v>
      </c>
      <c r="B697" s="531" t="s">
        <v>1069</v>
      </c>
    </row>
    <row r="698" spans="1:2">
      <c r="A698" s="531" t="s">
        <v>1074</v>
      </c>
      <c r="B698" s="531" t="s">
        <v>1069</v>
      </c>
    </row>
    <row r="699" spans="1:2">
      <c r="A699" s="531" t="s">
        <v>1048</v>
      </c>
      <c r="B699" s="531" t="s">
        <v>1069</v>
      </c>
    </row>
    <row r="700" spans="1:2">
      <c r="A700" s="531" t="s">
        <v>1049</v>
      </c>
      <c r="B700" s="531" t="s">
        <v>1069</v>
      </c>
    </row>
    <row r="701" spans="1:2">
      <c r="A701" s="531" t="s">
        <v>1075</v>
      </c>
      <c r="B701" s="531" t="s">
        <v>1069</v>
      </c>
    </row>
    <row r="702" spans="1:2">
      <c r="A702" s="531" t="s">
        <v>1076</v>
      </c>
      <c r="B702" s="531" t="s">
        <v>1069</v>
      </c>
    </row>
    <row r="703" spans="1:2">
      <c r="A703" s="531" t="s">
        <v>1077</v>
      </c>
      <c r="B703" s="531" t="s">
        <v>1069</v>
      </c>
    </row>
    <row r="704" spans="1:2">
      <c r="A704" s="531" t="s">
        <v>1078</v>
      </c>
      <c r="B704" s="531" t="s">
        <v>1069</v>
      </c>
    </row>
    <row r="705" spans="1:2">
      <c r="A705" s="531" t="s">
        <v>1079</v>
      </c>
      <c r="B705" s="531" t="s">
        <v>1069</v>
      </c>
    </row>
    <row r="706" spans="1:2">
      <c r="A706" s="531" t="s">
        <v>1080</v>
      </c>
      <c r="B706" s="531" t="s">
        <v>1069</v>
      </c>
    </row>
    <row r="707" spans="1:2">
      <c r="A707" s="531" t="s">
        <v>1081</v>
      </c>
      <c r="B707" s="531" t="s">
        <v>1069</v>
      </c>
    </row>
    <row r="708" spans="1:2">
      <c r="A708" s="531" t="s">
        <v>1082</v>
      </c>
      <c r="B708" s="531" t="s">
        <v>1069</v>
      </c>
    </row>
    <row r="709" spans="1:2">
      <c r="A709" s="531" t="s">
        <v>1083</v>
      </c>
      <c r="B709" s="531" t="s">
        <v>1069</v>
      </c>
    </row>
    <row r="710" spans="1:2">
      <c r="A710" s="531" t="s">
        <v>1084</v>
      </c>
      <c r="B710" s="531" t="s">
        <v>1069</v>
      </c>
    </row>
    <row r="711" spans="1:2">
      <c r="A711" s="531" t="s">
        <v>1085</v>
      </c>
      <c r="B711" s="531" t="s">
        <v>1069</v>
      </c>
    </row>
    <row r="712" spans="1:2">
      <c r="A712" s="531" t="s">
        <v>1086</v>
      </c>
      <c r="B712" s="531" t="s">
        <v>1069</v>
      </c>
    </row>
    <row r="713" spans="1:2">
      <c r="A713" s="531" t="s">
        <v>1087</v>
      </c>
      <c r="B713" s="531" t="s">
        <v>1069</v>
      </c>
    </row>
    <row r="715" spans="1:2">
      <c r="A715" s="531" t="s">
        <v>1050</v>
      </c>
      <c r="B715" s="531" t="s">
        <v>1088</v>
      </c>
    </row>
    <row r="716" spans="1:2">
      <c r="A716" s="531" t="s">
        <v>1051</v>
      </c>
      <c r="B716" s="531" t="s">
        <v>1088</v>
      </c>
    </row>
    <row r="717" spans="1:2">
      <c r="A717" s="531" t="s">
        <v>1089</v>
      </c>
      <c r="B717" s="531" t="s">
        <v>1088</v>
      </c>
    </row>
    <row r="718" spans="1:2">
      <c r="A718" s="531" t="s">
        <v>1090</v>
      </c>
      <c r="B718" s="531" t="s">
        <v>1088</v>
      </c>
    </row>
    <row r="719" spans="1:2">
      <c r="A719" s="531" t="s">
        <v>1052</v>
      </c>
      <c r="B719" s="531" t="s">
        <v>1088</v>
      </c>
    </row>
    <row r="720" spans="1:2">
      <c r="A720" s="531" t="s">
        <v>1053</v>
      </c>
      <c r="B720" s="531" t="s">
        <v>1088</v>
      </c>
    </row>
    <row r="721" spans="1:2">
      <c r="A721" s="531" t="s">
        <v>1091</v>
      </c>
      <c r="B721" s="531" t="s">
        <v>1088</v>
      </c>
    </row>
    <row r="722" spans="1:2">
      <c r="A722" s="531" t="s">
        <v>1092</v>
      </c>
      <c r="B722" s="531" t="s">
        <v>1088</v>
      </c>
    </row>
    <row r="723" spans="1:2">
      <c r="A723" s="531" t="s">
        <v>1054</v>
      </c>
      <c r="B723" s="531" t="s">
        <v>1088</v>
      </c>
    </row>
    <row r="724" spans="1:2">
      <c r="A724" s="531" t="s">
        <v>1055</v>
      </c>
      <c r="B724" s="531" t="s">
        <v>1088</v>
      </c>
    </row>
    <row r="725" spans="1:2">
      <c r="A725" s="531" t="s">
        <v>1093</v>
      </c>
      <c r="B725" s="531" t="s">
        <v>1088</v>
      </c>
    </row>
    <row r="726" spans="1:2">
      <c r="A726" s="531" t="s">
        <v>1094</v>
      </c>
      <c r="B726" s="531" t="s">
        <v>1088</v>
      </c>
    </row>
    <row r="727" spans="1:2">
      <c r="A727" s="531" t="s">
        <v>1056</v>
      </c>
      <c r="B727" s="531" t="s">
        <v>1088</v>
      </c>
    </row>
    <row r="728" spans="1:2">
      <c r="A728" s="531" t="s">
        <v>1057</v>
      </c>
      <c r="B728" s="531" t="s">
        <v>1088</v>
      </c>
    </row>
    <row r="729" spans="1:2">
      <c r="A729" s="531" t="s">
        <v>1095</v>
      </c>
      <c r="B729" s="531" t="s">
        <v>1088</v>
      </c>
    </row>
    <row r="730" spans="1:2">
      <c r="A730" s="531" t="s">
        <v>1096</v>
      </c>
      <c r="B730" s="531" t="s">
        <v>1088</v>
      </c>
    </row>
    <row r="731" spans="1:2">
      <c r="A731" s="531" t="s">
        <v>1058</v>
      </c>
      <c r="B731" s="531" t="s">
        <v>1088</v>
      </c>
    </row>
    <row r="732" spans="1:2">
      <c r="A732" s="531" t="s">
        <v>1059</v>
      </c>
      <c r="B732" s="531" t="s">
        <v>1088</v>
      </c>
    </row>
    <row r="733" spans="1:2">
      <c r="A733" s="531" t="s">
        <v>1097</v>
      </c>
      <c r="B733" s="531" t="s">
        <v>1088</v>
      </c>
    </row>
    <row r="734" spans="1:2">
      <c r="A734" s="531" t="s">
        <v>1098</v>
      </c>
      <c r="B734" s="531" t="s">
        <v>1088</v>
      </c>
    </row>
    <row r="735" spans="1:2">
      <c r="A735" s="531" t="s">
        <v>1060</v>
      </c>
      <c r="B735" s="531" t="s">
        <v>1088</v>
      </c>
    </row>
    <row r="736" spans="1:2">
      <c r="A736" s="531" t="s">
        <v>1061</v>
      </c>
      <c r="B736" s="531" t="s">
        <v>1088</v>
      </c>
    </row>
    <row r="737" spans="1:2">
      <c r="A737" s="531" t="s">
        <v>1099</v>
      </c>
      <c r="B737" s="531" t="s">
        <v>1088</v>
      </c>
    </row>
    <row r="738" spans="1:2">
      <c r="A738" s="531" t="s">
        <v>1100</v>
      </c>
      <c r="B738" s="531" t="s">
        <v>1088</v>
      </c>
    </row>
    <row r="739" spans="1:2">
      <c r="A739" s="531" t="s">
        <v>1062</v>
      </c>
      <c r="B739" s="531" t="s">
        <v>1088</v>
      </c>
    </row>
    <row r="740" spans="1:2">
      <c r="A740" s="531" t="s">
        <v>1063</v>
      </c>
      <c r="B740" s="531" t="s">
        <v>1088</v>
      </c>
    </row>
    <row r="741" spans="1:2">
      <c r="A741" s="531" t="s">
        <v>1101</v>
      </c>
      <c r="B741" s="531" t="s">
        <v>1088</v>
      </c>
    </row>
    <row r="742" spans="1:2">
      <c r="A742" s="531" t="s">
        <v>1102</v>
      </c>
      <c r="B742" s="531" t="s">
        <v>1088</v>
      </c>
    </row>
    <row r="743" spans="1:2">
      <c r="A743" s="531" t="s">
        <v>1064</v>
      </c>
      <c r="B743" s="531" t="s">
        <v>1088</v>
      </c>
    </row>
    <row r="744" spans="1:2">
      <c r="A744" s="531" t="s">
        <v>1065</v>
      </c>
      <c r="B744" s="531" t="s">
        <v>1088</v>
      </c>
    </row>
    <row r="745" spans="1:2">
      <c r="A745" s="531" t="s">
        <v>1103</v>
      </c>
      <c r="B745" s="531" t="s">
        <v>1088</v>
      </c>
    </row>
    <row r="746" spans="1:2">
      <c r="A746" s="531" t="s">
        <v>1104</v>
      </c>
      <c r="B746" s="531" t="s">
        <v>1088</v>
      </c>
    </row>
    <row r="747" spans="1:2">
      <c r="A747" s="531" t="s">
        <v>1066</v>
      </c>
      <c r="B747" s="531" t="s">
        <v>1088</v>
      </c>
    </row>
    <row r="748" spans="1:2">
      <c r="A748" s="531" t="s">
        <v>1067</v>
      </c>
      <c r="B748" s="531" t="s">
        <v>1088</v>
      </c>
    </row>
    <row r="749" spans="1:2">
      <c r="A749" s="531" t="s">
        <v>1105</v>
      </c>
      <c r="B749" s="531" t="s">
        <v>1088</v>
      </c>
    </row>
    <row r="750" spans="1:2">
      <c r="A750" s="531" t="s">
        <v>1106</v>
      </c>
      <c r="B750" s="531" t="s">
        <v>1088</v>
      </c>
    </row>
    <row r="752" spans="1:2">
      <c r="A752" s="531" t="s">
        <v>871</v>
      </c>
      <c r="B752" s="531" t="s">
        <v>881</v>
      </c>
    </row>
    <row r="753" spans="1:2">
      <c r="A753" s="531" t="s">
        <v>872</v>
      </c>
      <c r="B753" s="531" t="s">
        <v>881</v>
      </c>
    </row>
    <row r="754" spans="1:2">
      <c r="A754" s="531" t="s">
        <v>873</v>
      </c>
      <c r="B754" s="531" t="s">
        <v>881</v>
      </c>
    </row>
    <row r="755" spans="1:2">
      <c r="A755" s="531" t="s">
        <v>874</v>
      </c>
      <c r="B755" s="531" t="s">
        <v>881</v>
      </c>
    </row>
    <row r="756" spans="1:2">
      <c r="A756" s="531" t="s">
        <v>875</v>
      </c>
      <c r="B756" s="531" t="s">
        <v>881</v>
      </c>
    </row>
    <row r="757" spans="1:2">
      <c r="A757" s="531" t="s">
        <v>876</v>
      </c>
      <c r="B757" s="531" t="s">
        <v>881</v>
      </c>
    </row>
    <row r="758" spans="1:2">
      <c r="A758" s="531" t="s">
        <v>877</v>
      </c>
      <c r="B758" s="531" t="s">
        <v>881</v>
      </c>
    </row>
    <row r="759" spans="1:2">
      <c r="A759" s="531" t="s">
        <v>878</v>
      </c>
      <c r="B759" s="531" t="s">
        <v>881</v>
      </c>
    </row>
    <row r="760" spans="1:2">
      <c r="A760" s="531" t="s">
        <v>879</v>
      </c>
      <c r="B760" s="531" t="s">
        <v>881</v>
      </c>
    </row>
    <row r="761" spans="1:2">
      <c r="A761" s="531" t="s">
        <v>880</v>
      </c>
      <c r="B761" s="531" t="s">
        <v>881</v>
      </c>
    </row>
    <row r="763" spans="1:2">
      <c r="A763" s="531" t="s">
        <v>847</v>
      </c>
      <c r="B763" s="531" t="s">
        <v>887</v>
      </c>
    </row>
    <row r="764" spans="1:2">
      <c r="A764" s="531" t="s">
        <v>848</v>
      </c>
      <c r="B764" s="531" t="s">
        <v>887</v>
      </c>
    </row>
    <row r="765" spans="1:2">
      <c r="A765" s="531" t="s">
        <v>849</v>
      </c>
      <c r="B765" s="531" t="s">
        <v>887</v>
      </c>
    </row>
    <row r="766" spans="1:2">
      <c r="A766" s="531" t="s">
        <v>850</v>
      </c>
      <c r="B766" s="531" t="s">
        <v>887</v>
      </c>
    </row>
    <row r="767" spans="1:2">
      <c r="A767" s="531" t="s">
        <v>851</v>
      </c>
      <c r="B767" s="531" t="s">
        <v>887</v>
      </c>
    </row>
    <row r="768" spans="1:2">
      <c r="A768" s="531" t="s">
        <v>852</v>
      </c>
      <c r="B768" s="531" t="s">
        <v>887</v>
      </c>
    </row>
    <row r="769" spans="1:2">
      <c r="A769" s="531" t="s">
        <v>882</v>
      </c>
      <c r="B769" s="531" t="s">
        <v>888</v>
      </c>
    </row>
    <row r="770" spans="1:2">
      <c r="A770" s="531" t="s">
        <v>883</v>
      </c>
      <c r="B770" s="531" t="s">
        <v>888</v>
      </c>
    </row>
    <row r="771" spans="1:2">
      <c r="A771" s="531" t="s">
        <v>884</v>
      </c>
      <c r="B771" s="531" t="s">
        <v>888</v>
      </c>
    </row>
    <row r="772" spans="1:2">
      <c r="A772" s="531" t="s">
        <v>885</v>
      </c>
      <c r="B772" s="531" t="s">
        <v>888</v>
      </c>
    </row>
    <row r="773" spans="1:2">
      <c r="A773" s="531" t="s">
        <v>886</v>
      </c>
      <c r="B773" s="531" t="s">
        <v>888</v>
      </c>
    </row>
    <row r="775" spans="1:2">
      <c r="A775" s="531" t="s">
        <v>889</v>
      </c>
      <c r="B775" s="531" t="s">
        <v>900</v>
      </c>
    </row>
    <row r="776" spans="1:2">
      <c r="A776" s="531" t="s">
        <v>890</v>
      </c>
      <c r="B776" s="531" t="s">
        <v>900</v>
      </c>
    </row>
    <row r="777" spans="1:2">
      <c r="A777" s="531" t="s">
        <v>891</v>
      </c>
      <c r="B777" s="531" t="s">
        <v>900</v>
      </c>
    </row>
    <row r="778" spans="1:2">
      <c r="A778" s="531" t="s">
        <v>892</v>
      </c>
      <c r="B778" s="531" t="s">
        <v>900</v>
      </c>
    </row>
    <row r="779" spans="1:2">
      <c r="A779" s="531" t="s">
        <v>893</v>
      </c>
      <c r="B779" s="531" t="s">
        <v>900</v>
      </c>
    </row>
    <row r="780" spans="1:2">
      <c r="A780" s="531" t="s">
        <v>894</v>
      </c>
      <c r="B780" s="531" t="s">
        <v>900</v>
      </c>
    </row>
    <row r="781" spans="1:2">
      <c r="A781" s="531" t="s">
        <v>895</v>
      </c>
      <c r="B781" s="531" t="s">
        <v>900</v>
      </c>
    </row>
    <row r="782" spans="1:2">
      <c r="A782" s="531" t="s">
        <v>896</v>
      </c>
      <c r="B782" s="531" t="s">
        <v>900</v>
      </c>
    </row>
    <row r="783" spans="1:2">
      <c r="A783" s="531" t="s">
        <v>897</v>
      </c>
      <c r="B783" s="531" t="s">
        <v>900</v>
      </c>
    </row>
    <row r="784" spans="1:2">
      <c r="A784" s="531" t="s">
        <v>898</v>
      </c>
      <c r="B784" s="531" t="s">
        <v>900</v>
      </c>
    </row>
    <row r="785" spans="1:2">
      <c r="A785" s="531" t="s">
        <v>899</v>
      </c>
      <c r="B785" s="531" t="s">
        <v>900</v>
      </c>
    </row>
    <row r="787" spans="1:2">
      <c r="A787" s="531" t="s">
        <v>853</v>
      </c>
      <c r="B787" s="531" t="s">
        <v>901</v>
      </c>
    </row>
    <row r="788" spans="1:2">
      <c r="A788" s="531" t="s">
        <v>855</v>
      </c>
      <c r="B788" s="531" t="s">
        <v>901</v>
      </c>
    </row>
    <row r="789" spans="1:2">
      <c r="A789" s="531" t="s">
        <v>857</v>
      </c>
      <c r="B789" s="531" t="s">
        <v>901</v>
      </c>
    </row>
    <row r="790" spans="1:2">
      <c r="A790" s="531" t="s">
        <v>859</v>
      </c>
      <c r="B790" s="531" t="s">
        <v>901</v>
      </c>
    </row>
    <row r="791" spans="1:2">
      <c r="A791" s="531" t="s">
        <v>861</v>
      </c>
      <c r="B791" s="531" t="s">
        <v>901</v>
      </c>
    </row>
    <row r="792" spans="1:2">
      <c r="A792" s="531" t="s">
        <v>863</v>
      </c>
      <c r="B792" s="531" t="s">
        <v>901</v>
      </c>
    </row>
    <row r="793" spans="1:2">
      <c r="A793" s="531" t="s">
        <v>865</v>
      </c>
      <c r="B793" s="531" t="s">
        <v>901</v>
      </c>
    </row>
    <row r="794" spans="1:2">
      <c r="A794" s="531" t="s">
        <v>867</v>
      </c>
      <c r="B794" s="531" t="s">
        <v>901</v>
      </c>
    </row>
    <row r="795" spans="1:2">
      <c r="A795" s="531" t="s">
        <v>869</v>
      </c>
      <c r="B795" s="531" t="s">
        <v>901</v>
      </c>
    </row>
    <row r="797" spans="1:2">
      <c r="A797" s="531" t="s">
        <v>902</v>
      </c>
      <c r="B797" s="531" t="s">
        <v>912</v>
      </c>
    </row>
    <row r="798" spans="1:2">
      <c r="A798" s="531" t="s">
        <v>903</v>
      </c>
      <c r="B798" s="531" t="s">
        <v>912</v>
      </c>
    </row>
    <row r="799" spans="1:2">
      <c r="A799" s="531" t="s">
        <v>904</v>
      </c>
      <c r="B799" s="531" t="s">
        <v>912</v>
      </c>
    </row>
    <row r="800" spans="1:2">
      <c r="A800" s="531" t="s">
        <v>905</v>
      </c>
      <c r="B800" s="531" t="s">
        <v>912</v>
      </c>
    </row>
    <row r="801" spans="1:2">
      <c r="A801" s="531" t="s">
        <v>906</v>
      </c>
      <c r="B801" s="531" t="s">
        <v>912</v>
      </c>
    </row>
    <row r="802" spans="1:2">
      <c r="A802" s="531" t="s">
        <v>907</v>
      </c>
      <c r="B802" s="531" t="s">
        <v>912</v>
      </c>
    </row>
    <row r="803" spans="1:2">
      <c r="A803" s="531" t="s">
        <v>908</v>
      </c>
      <c r="B803" s="531" t="s">
        <v>912</v>
      </c>
    </row>
    <row r="804" spans="1:2">
      <c r="A804" s="531" t="s">
        <v>909</v>
      </c>
      <c r="B804" s="531" t="s">
        <v>912</v>
      </c>
    </row>
    <row r="805" spans="1:2">
      <c r="A805" s="531" t="s">
        <v>910</v>
      </c>
      <c r="B805" s="531" t="s">
        <v>912</v>
      </c>
    </row>
    <row r="806" spans="1:2">
      <c r="A806" s="531" t="s">
        <v>911</v>
      </c>
      <c r="B806" s="531" t="s">
        <v>912</v>
      </c>
    </row>
    <row r="808" spans="1:2">
      <c r="A808" s="531" t="s">
        <v>913</v>
      </c>
      <c r="B808" s="531" t="s">
        <v>919</v>
      </c>
    </row>
    <row r="809" spans="1:2">
      <c r="A809" s="531" t="s">
        <v>914</v>
      </c>
      <c r="B809" s="531" t="s">
        <v>919</v>
      </c>
    </row>
    <row r="810" spans="1:2">
      <c r="A810" s="531" t="s">
        <v>915</v>
      </c>
      <c r="B810" s="531" t="s">
        <v>919</v>
      </c>
    </row>
    <row r="811" spans="1:2">
      <c r="A811" s="531" t="s">
        <v>916</v>
      </c>
      <c r="B811" s="531" t="s">
        <v>919</v>
      </c>
    </row>
    <row r="812" spans="1:2">
      <c r="A812" s="531" t="s">
        <v>917</v>
      </c>
      <c r="B812" s="531" t="s">
        <v>919</v>
      </c>
    </row>
    <row r="813" spans="1:2">
      <c r="A813" s="531" t="s">
        <v>918</v>
      </c>
      <c r="B813" s="531" t="s">
        <v>919</v>
      </c>
    </row>
    <row r="815" spans="1:2">
      <c r="A815" s="531" t="s">
        <v>809</v>
      </c>
      <c r="B815" s="531" t="s">
        <v>840</v>
      </c>
    </row>
    <row r="816" spans="1:2">
      <c r="A816" s="531" t="s">
        <v>810</v>
      </c>
      <c r="B816" s="531" t="s">
        <v>840</v>
      </c>
    </row>
    <row r="817" spans="1:2">
      <c r="A817" s="531" t="s">
        <v>811</v>
      </c>
      <c r="B817" s="531" t="s">
        <v>840</v>
      </c>
    </row>
    <row r="818" spans="1:2">
      <c r="A818" s="531" t="s">
        <v>812</v>
      </c>
      <c r="B818" s="531" t="s">
        <v>840</v>
      </c>
    </row>
    <row r="819" spans="1:2">
      <c r="A819" s="531" t="s">
        <v>813</v>
      </c>
      <c r="B819" s="531" t="s">
        <v>840</v>
      </c>
    </row>
    <row r="820" spans="1:2">
      <c r="A820" s="531" t="s">
        <v>814</v>
      </c>
      <c r="B820" s="531" t="s">
        <v>840</v>
      </c>
    </row>
    <row r="821" spans="1:2">
      <c r="A821" s="531" t="s">
        <v>815</v>
      </c>
      <c r="B821" s="531" t="s">
        <v>840</v>
      </c>
    </row>
    <row r="822" spans="1:2">
      <c r="A822" s="531" t="s">
        <v>816</v>
      </c>
      <c r="B822" s="531" t="s">
        <v>840</v>
      </c>
    </row>
    <row r="823" spans="1:2">
      <c r="A823" s="531" t="s">
        <v>817</v>
      </c>
      <c r="B823" s="531" t="s">
        <v>840</v>
      </c>
    </row>
    <row r="824" spans="1:2">
      <c r="A824" s="531" t="s">
        <v>818</v>
      </c>
      <c r="B824" s="531" t="s">
        <v>840</v>
      </c>
    </row>
    <row r="825" spans="1:2">
      <c r="A825" s="531" t="s">
        <v>819</v>
      </c>
      <c r="B825" s="531" t="s">
        <v>840</v>
      </c>
    </row>
    <row r="826" spans="1:2">
      <c r="A826" s="531" t="s">
        <v>820</v>
      </c>
      <c r="B826" s="531" t="s">
        <v>840</v>
      </c>
    </row>
    <row r="827" spans="1:2">
      <c r="A827" s="531" t="s">
        <v>841</v>
      </c>
      <c r="B827" s="531" t="s">
        <v>845</v>
      </c>
    </row>
    <row r="828" spans="1:2">
      <c r="A828" s="531" t="s">
        <v>842</v>
      </c>
      <c r="B828" s="531" t="s">
        <v>845</v>
      </c>
    </row>
    <row r="829" spans="1:2">
      <c r="A829" s="531" t="s">
        <v>843</v>
      </c>
      <c r="B829" s="531" t="s">
        <v>845</v>
      </c>
    </row>
    <row r="830" spans="1:2">
      <c r="A830" s="531" t="s">
        <v>844</v>
      </c>
      <c r="B830" s="531" t="s">
        <v>845</v>
      </c>
    </row>
    <row r="832" spans="1:2">
      <c r="A832" s="531" t="s">
        <v>821</v>
      </c>
      <c r="B832" s="531" t="s">
        <v>846</v>
      </c>
    </row>
    <row r="833" spans="1:2">
      <c r="A833" s="531" t="s">
        <v>822</v>
      </c>
      <c r="B833" s="531" t="s">
        <v>846</v>
      </c>
    </row>
    <row r="834" spans="1:2">
      <c r="A834" s="531" t="s">
        <v>823</v>
      </c>
      <c r="B834" s="531" t="s">
        <v>846</v>
      </c>
    </row>
    <row r="835" spans="1:2">
      <c r="A835" s="531" t="s">
        <v>824</v>
      </c>
      <c r="B835" s="531" t="s">
        <v>846</v>
      </c>
    </row>
    <row r="836" spans="1:2">
      <c r="A836" s="531" t="s">
        <v>825</v>
      </c>
      <c r="B836" s="531" t="s">
        <v>846</v>
      </c>
    </row>
    <row r="837" spans="1:2">
      <c r="A837" s="531" t="s">
        <v>826</v>
      </c>
      <c r="B837" s="531" t="s">
        <v>846</v>
      </c>
    </row>
    <row r="838" spans="1:2">
      <c r="A838" s="531" t="s">
        <v>827</v>
      </c>
      <c r="B838" s="531" t="s">
        <v>846</v>
      </c>
    </row>
    <row r="839" spans="1:2">
      <c r="A839" s="531" t="s">
        <v>828</v>
      </c>
      <c r="B839" s="531" t="s">
        <v>846</v>
      </c>
    </row>
    <row r="840" spans="1:2">
      <c r="A840" s="531" t="s">
        <v>829</v>
      </c>
      <c r="B840" s="531" t="s">
        <v>846</v>
      </c>
    </row>
    <row r="842" spans="1:2">
      <c r="A842" s="531" t="s">
        <v>1582</v>
      </c>
      <c r="B842" s="531" t="s">
        <v>1598</v>
      </c>
    </row>
    <row r="843" spans="1:2">
      <c r="A843" s="531" t="s">
        <v>1583</v>
      </c>
      <c r="B843" s="531" t="s">
        <v>1598</v>
      </c>
    </row>
    <row r="844" spans="1:2">
      <c r="A844" s="531" t="s">
        <v>1584</v>
      </c>
      <c r="B844" s="531" t="s">
        <v>1598</v>
      </c>
    </row>
    <row r="845" spans="1:2">
      <c r="A845" s="531" t="s">
        <v>1585</v>
      </c>
      <c r="B845" s="531" t="s">
        <v>1598</v>
      </c>
    </row>
    <row r="846" spans="1:2">
      <c r="A846" s="531" t="s">
        <v>1586</v>
      </c>
      <c r="B846" s="531" t="s">
        <v>1598</v>
      </c>
    </row>
    <row r="847" spans="1:2">
      <c r="A847" s="531" t="s">
        <v>1587</v>
      </c>
      <c r="B847" s="531" t="s">
        <v>1598</v>
      </c>
    </row>
    <row r="848" spans="1:2">
      <c r="A848" s="531" t="s">
        <v>1588</v>
      </c>
      <c r="B848" s="531" t="s">
        <v>1598</v>
      </c>
    </row>
    <row r="849" spans="1:2">
      <c r="A849" s="531" t="s">
        <v>1589</v>
      </c>
      <c r="B849" s="531" t="s">
        <v>1598</v>
      </c>
    </row>
    <row r="850" spans="1:2">
      <c r="A850" s="531" t="s">
        <v>1590</v>
      </c>
      <c r="B850" s="531" t="s">
        <v>1598</v>
      </c>
    </row>
    <row r="851" spans="1:2">
      <c r="A851" s="531" t="s">
        <v>1591</v>
      </c>
      <c r="B851" s="531" t="s">
        <v>1598</v>
      </c>
    </row>
    <row r="852" spans="1:2">
      <c r="A852" s="531" t="s">
        <v>1592</v>
      </c>
      <c r="B852" s="531" t="s">
        <v>1598</v>
      </c>
    </row>
    <row r="853" spans="1:2">
      <c r="A853" s="531" t="s">
        <v>1593</v>
      </c>
      <c r="B853" s="531" t="s">
        <v>1598</v>
      </c>
    </row>
    <row r="854" spans="1:2">
      <c r="A854" s="531" t="s">
        <v>1594</v>
      </c>
      <c r="B854" s="531" t="s">
        <v>1598</v>
      </c>
    </row>
    <row r="855" spans="1:2">
      <c r="A855" s="531" t="s">
        <v>1595</v>
      </c>
      <c r="B855" s="531" t="s">
        <v>1598</v>
      </c>
    </row>
    <row r="856" spans="1:2">
      <c r="A856" s="531" t="s">
        <v>1596</v>
      </c>
      <c r="B856" s="531" t="s">
        <v>1598</v>
      </c>
    </row>
    <row r="857" spans="1:2">
      <c r="A857" s="531" t="s">
        <v>1597</v>
      </c>
      <c r="B857" s="531" t="s">
        <v>1598</v>
      </c>
    </row>
    <row r="859" spans="1:2">
      <c r="A859" s="531" t="s">
        <v>1599</v>
      </c>
      <c r="B859" s="531" t="s">
        <v>1606</v>
      </c>
    </row>
    <row r="860" spans="1:2">
      <c r="A860" s="531" t="s">
        <v>1600</v>
      </c>
      <c r="B860" s="531" t="s">
        <v>1606</v>
      </c>
    </row>
    <row r="861" spans="1:2">
      <c r="A861" s="531" t="s">
        <v>1601</v>
      </c>
      <c r="B861" s="531" t="s">
        <v>1606</v>
      </c>
    </row>
    <row r="862" spans="1:2">
      <c r="A862" s="531" t="s">
        <v>1602</v>
      </c>
      <c r="B862" s="531" t="s">
        <v>1606</v>
      </c>
    </row>
    <row r="863" spans="1:2">
      <c r="A863" s="531" t="s">
        <v>1603</v>
      </c>
      <c r="B863" s="531" t="s">
        <v>1606</v>
      </c>
    </row>
    <row r="864" spans="1:2">
      <c r="A864" s="531" t="s">
        <v>1604</v>
      </c>
      <c r="B864" s="531" t="s">
        <v>1606</v>
      </c>
    </row>
    <row r="865" spans="1:2">
      <c r="A865" s="531" t="s">
        <v>1605</v>
      </c>
      <c r="B865" s="531" t="s">
        <v>1606</v>
      </c>
    </row>
    <row r="867" spans="1:2">
      <c r="A867" s="531" t="s">
        <v>1607</v>
      </c>
      <c r="B867" s="531" t="s">
        <v>1615</v>
      </c>
    </row>
    <row r="868" spans="1:2">
      <c r="A868" s="531" t="s">
        <v>1608</v>
      </c>
      <c r="B868" s="531" t="s">
        <v>1615</v>
      </c>
    </row>
    <row r="869" spans="1:2">
      <c r="A869" s="531" t="s">
        <v>1609</v>
      </c>
      <c r="B869" s="531" t="s">
        <v>1615</v>
      </c>
    </row>
    <row r="870" spans="1:2">
      <c r="A870" s="531" t="s">
        <v>1610</v>
      </c>
      <c r="B870" s="531" t="s">
        <v>1615</v>
      </c>
    </row>
    <row r="872" spans="1:2">
      <c r="A872" s="531" t="s">
        <v>1611</v>
      </c>
      <c r="B872" s="225" t="s">
        <v>1616</v>
      </c>
    </row>
    <row r="873" spans="1:2">
      <c r="A873" s="531" t="s">
        <v>1612</v>
      </c>
      <c r="B873" s="225" t="s">
        <v>1616</v>
      </c>
    </row>
    <row r="874" spans="1:2">
      <c r="A874" s="531" t="s">
        <v>1613</v>
      </c>
      <c r="B874" s="225" t="s">
        <v>1616</v>
      </c>
    </row>
    <row r="875" spans="1:2">
      <c r="A875" s="531" t="s">
        <v>1614</v>
      </c>
      <c r="B875" s="225" t="s">
        <v>1616</v>
      </c>
    </row>
    <row r="877" spans="1:2">
      <c r="A877" s="531" t="s">
        <v>1617</v>
      </c>
      <c r="B877" s="531" t="s">
        <v>1624</v>
      </c>
    </row>
    <row r="878" spans="1:2">
      <c r="A878" s="531" t="s">
        <v>1618</v>
      </c>
      <c r="B878" s="531" t="s">
        <v>1624</v>
      </c>
    </row>
    <row r="879" spans="1:2">
      <c r="A879" s="531" t="s">
        <v>1619</v>
      </c>
      <c r="B879" s="531" t="s">
        <v>1624</v>
      </c>
    </row>
    <row r="880" spans="1:2">
      <c r="A880" s="531" t="s">
        <v>1620</v>
      </c>
      <c r="B880" s="531" t="s">
        <v>1624</v>
      </c>
    </row>
    <row r="881" spans="1:2">
      <c r="A881" s="531" t="s">
        <v>1621</v>
      </c>
      <c r="B881" s="531" t="s">
        <v>1624</v>
      </c>
    </row>
    <row r="882" spans="1:2">
      <c r="A882" s="531" t="s">
        <v>1622</v>
      </c>
      <c r="B882" s="531" t="s">
        <v>1624</v>
      </c>
    </row>
    <row r="883" spans="1:2">
      <c r="A883" s="531" t="s">
        <v>1623</v>
      </c>
      <c r="B883" s="531" t="s">
        <v>1624</v>
      </c>
    </row>
    <row r="885" spans="1:2">
      <c r="A885" s="531" t="s">
        <v>1625</v>
      </c>
      <c r="B885" s="531" t="s">
        <v>1641</v>
      </c>
    </row>
    <row r="886" spans="1:2">
      <c r="A886" s="531" t="s">
        <v>1626</v>
      </c>
      <c r="B886" s="531" t="s">
        <v>1641</v>
      </c>
    </row>
    <row r="887" spans="1:2">
      <c r="A887" s="531" t="s">
        <v>1627</v>
      </c>
      <c r="B887" s="531" t="s">
        <v>1641</v>
      </c>
    </row>
    <row r="888" spans="1:2">
      <c r="A888" s="531" t="s">
        <v>1628</v>
      </c>
      <c r="B888" s="531" t="s">
        <v>1641</v>
      </c>
    </row>
    <row r="889" spans="1:2">
      <c r="A889" s="531" t="s">
        <v>1629</v>
      </c>
      <c r="B889" s="531" t="s">
        <v>1641</v>
      </c>
    </row>
    <row r="890" spans="1:2">
      <c r="A890" s="531" t="s">
        <v>1630</v>
      </c>
      <c r="B890" s="531" t="s">
        <v>1641</v>
      </c>
    </row>
    <row r="891" spans="1:2">
      <c r="A891" s="531" t="s">
        <v>1631</v>
      </c>
      <c r="B891" s="531" t="s">
        <v>1641</v>
      </c>
    </row>
    <row r="892" spans="1:2">
      <c r="A892" s="531" t="s">
        <v>1632</v>
      </c>
      <c r="B892" s="531" t="s">
        <v>1641</v>
      </c>
    </row>
    <row r="893" spans="1:2">
      <c r="A893" s="531" t="s">
        <v>1633</v>
      </c>
      <c r="B893" s="531" t="s">
        <v>1641</v>
      </c>
    </row>
    <row r="894" spans="1:2">
      <c r="A894" s="531" t="s">
        <v>1634</v>
      </c>
      <c r="B894" s="531" t="s">
        <v>1641</v>
      </c>
    </row>
    <row r="895" spans="1:2">
      <c r="A895" s="531" t="s">
        <v>1635</v>
      </c>
      <c r="B895" s="531" t="s">
        <v>1641</v>
      </c>
    </row>
    <row r="896" spans="1:2">
      <c r="A896" s="531" t="s">
        <v>1636</v>
      </c>
      <c r="B896" s="531" t="s">
        <v>1641</v>
      </c>
    </row>
    <row r="897" spans="1:2">
      <c r="A897" s="531" t="s">
        <v>1637</v>
      </c>
      <c r="B897" s="531" t="s">
        <v>1641</v>
      </c>
    </row>
    <row r="898" spans="1:2">
      <c r="A898" s="531" t="s">
        <v>1638</v>
      </c>
      <c r="B898" s="531" t="s">
        <v>1641</v>
      </c>
    </row>
    <row r="899" spans="1:2">
      <c r="A899" s="531" t="s">
        <v>1639</v>
      </c>
      <c r="B899" s="531" t="s">
        <v>1641</v>
      </c>
    </row>
    <row r="900" spans="1:2">
      <c r="A900" s="531" t="s">
        <v>1640</v>
      </c>
      <c r="B900" s="531" t="s">
        <v>1641</v>
      </c>
    </row>
  </sheetData>
  <customSheetViews>
    <customSheetView guid="{0C99ABE2-728B-4C30-A993-CD651C64FAAE}" state="hidden" topLeftCell="A93">
      <selection activeCell="B108" sqref="B108"/>
      <pageMargins left="0.7" right="0.7" top="0.75" bottom="0.75" header="0.3" footer="0.3"/>
      <pageSetup paperSize="9" orientation="portrait" r:id="rId1"/>
    </customSheetView>
    <customSheetView guid="{2BA56ECA-30F6-456D-AB26-04DD1698A098}" state="hidden" topLeftCell="A93">
      <selection activeCell="B108" sqref="B108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C4:P7"/>
  <sheetViews>
    <sheetView topLeftCell="B1" workbookViewId="0">
      <selection activeCell="B1" sqref="B1"/>
    </sheetView>
  </sheetViews>
  <sheetFormatPr defaultRowHeight="14.4"/>
  <cols>
    <col min="1" max="1" width="0" hidden="1" customWidth="1"/>
    <col min="2" max="15" width="14.33203125" customWidth="1"/>
  </cols>
  <sheetData>
    <row r="4" spans="3:16">
      <c r="C4" s="469"/>
    </row>
    <row r="7" spans="3:16">
      <c r="P7" s="457"/>
    </row>
  </sheetData>
  <customSheetViews>
    <customSheetView guid="{0C99ABE2-728B-4C30-A993-CD651C64FAAE}" hiddenColumns="1" state="hidden" topLeftCell="B1">
      <selection activeCell="B1" sqref="B1"/>
      <pageMargins left="0.7" right="0.7" top="0.75" bottom="0.75" header="0.3" footer="0.3"/>
      <pageSetup paperSize="9" orientation="portrait" r:id="rId1"/>
    </customSheetView>
    <customSheetView guid="{2BA56ECA-30F6-456D-AB26-04DD1698A098}" hiddenColumns="1" state="hidden" topLeftCell="B1">
      <selection activeCell="B1" sqref="B1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215967"/>
  </sheetPr>
  <dimension ref="A1:Q192"/>
  <sheetViews>
    <sheetView zoomScaleNormal="100" workbookViewId="0"/>
  </sheetViews>
  <sheetFormatPr defaultRowHeight="14.4"/>
  <cols>
    <col min="1" max="8" width="40.6640625" customWidth="1"/>
  </cols>
  <sheetData>
    <row r="1" spans="1:2">
      <c r="A1" t="s">
        <v>545</v>
      </c>
      <c r="B1" s="163" t="s">
        <v>592</v>
      </c>
    </row>
    <row r="2" spans="1:2">
      <c r="A2" t="s">
        <v>541</v>
      </c>
      <c r="B2" t="b">
        <f ca="1">NOT(ISNA(WEB_VERSION))</f>
        <v>0</v>
      </c>
    </row>
    <row r="3" spans="1:2">
      <c r="A3" s="366" t="s">
        <v>542</v>
      </c>
      <c r="B3" s="366" t="e">
        <f ca="1">AND(B2,A4&gt;B4)</f>
        <v>#N/A</v>
      </c>
    </row>
    <row r="4" spans="1:2">
      <c r="A4" s="458" t="e">
        <f ca="1">VLOOKUP("Версия",INDIRECT("WEB_UPDATE!"&amp;WEB_RANGE),2,FALSE)</f>
        <v>#N/A</v>
      </c>
      <c r="B4" s="471">
        <v>1.04</v>
      </c>
    </row>
    <row r="5" spans="1:2">
      <c r="A5" s="459" t="e">
        <f ca="1">VLOOKUP("Дата",INDIRECT("WEB_UPDATE!"&amp;WEB_RANGE),2,FALSE)</f>
        <v>#N/A</v>
      </c>
      <c r="B5" s="460">
        <v>42998</v>
      </c>
    </row>
    <row r="6" spans="1:2">
      <c r="A6" s="461" t="e">
        <f ca="1">VLOOKUP("URL",INDIRECT("WEB_UPDATE!"&amp;WEB_RANGE),2,FALSE)</f>
        <v>#N/A</v>
      </c>
      <c r="B6" s="462"/>
    </row>
    <row r="7" spans="1:2">
      <c r="A7" s="473"/>
      <c r="B7" s="463"/>
    </row>
    <row r="8" spans="1:2">
      <c r="A8" s="473"/>
      <c r="B8" s="463"/>
    </row>
    <row r="9" spans="1:2">
      <c r="A9" s="473"/>
      <c r="B9" s="463"/>
    </row>
    <row r="10" spans="1:2">
      <c r="A10" s="481"/>
      <c r="B10" s="482"/>
    </row>
    <row r="11" spans="1:2">
      <c r="A11" s="483" t="s">
        <v>593</v>
      </c>
      <c r="B11" s="482"/>
    </row>
    <row r="12" spans="1:2">
      <c r="A12" s="484" t="s">
        <v>594</v>
      </c>
      <c r="B12" s="482"/>
    </row>
    <row r="14" spans="1:2">
      <c r="A14" s="477" t="s">
        <v>577</v>
      </c>
    </row>
    <row r="15" spans="1:2">
      <c r="A15" s="476" t="s">
        <v>578</v>
      </c>
    </row>
    <row r="17" spans="1:8">
      <c r="A17" s="120" t="s">
        <v>148</v>
      </c>
    </row>
    <row r="18" spans="1:8">
      <c r="A18" s="5" t="s">
        <v>40</v>
      </c>
    </row>
    <row r="20" spans="1:8">
      <c r="A20" s="120" t="s">
        <v>464</v>
      </c>
      <c r="B20" s="120" t="s">
        <v>465</v>
      </c>
      <c r="C20" s="120" t="s">
        <v>470</v>
      </c>
      <c r="D20" s="120" t="s">
        <v>471</v>
      </c>
      <c r="E20" s="120" t="s">
        <v>466</v>
      </c>
      <c r="F20" s="120" t="s">
        <v>467</v>
      </c>
      <c r="G20" s="120" t="s">
        <v>468</v>
      </c>
      <c r="H20" s="120" t="s">
        <v>469</v>
      </c>
    </row>
    <row r="21" spans="1:8">
      <c r="A21" s="396" t="str">
        <f t="shared" ref="A21:H21" si="0">Значение_Авто</f>
        <v>АВТО</v>
      </c>
      <c r="B21" s="396" t="str">
        <f t="shared" si="0"/>
        <v>АВТО</v>
      </c>
      <c r="C21" s="396" t="str">
        <f t="shared" si="0"/>
        <v>АВТО</v>
      </c>
      <c r="D21" s="396" t="str">
        <f t="shared" si="0"/>
        <v>АВТО</v>
      </c>
      <c r="E21" s="396" t="str">
        <f t="shared" si="0"/>
        <v>АВТО</v>
      </c>
      <c r="F21" s="396" t="str">
        <f t="shared" si="0"/>
        <v>АВТО</v>
      </c>
      <c r="G21" s="396" t="str">
        <f t="shared" si="0"/>
        <v>АВТО</v>
      </c>
      <c r="H21" s="396" t="str">
        <f t="shared" si="0"/>
        <v>АВТО</v>
      </c>
    </row>
    <row r="22" spans="1:8">
      <c r="A22" s="121" t="s">
        <v>483</v>
      </c>
      <c r="B22" s="121" t="s">
        <v>139</v>
      </c>
      <c r="C22" s="121"/>
      <c r="D22" s="121"/>
      <c r="E22" s="121"/>
      <c r="F22" s="121"/>
      <c r="G22" s="121"/>
      <c r="H22" s="121"/>
    </row>
    <row r="23" spans="1:8">
      <c r="A23" s="121" t="s">
        <v>472</v>
      </c>
      <c r="B23" s="121" t="s">
        <v>140</v>
      </c>
      <c r="C23" s="121"/>
      <c r="D23" s="121"/>
      <c r="E23" s="121"/>
      <c r="F23" s="121"/>
      <c r="G23" s="121"/>
      <c r="H23" s="121"/>
    </row>
    <row r="24" spans="1:8">
      <c r="A24" s="121" t="s">
        <v>473</v>
      </c>
      <c r="B24" s="121" t="s">
        <v>141</v>
      </c>
      <c r="C24" s="121"/>
      <c r="D24" s="121"/>
      <c r="E24" s="121"/>
      <c r="F24" s="121"/>
      <c r="G24" s="121"/>
      <c r="H24" s="121"/>
    </row>
    <row r="25" spans="1:8">
      <c r="A25" s="121" t="s">
        <v>474</v>
      </c>
      <c r="B25" s="121" t="s">
        <v>142</v>
      </c>
      <c r="C25" s="121"/>
      <c r="D25" s="121"/>
      <c r="E25" s="121"/>
      <c r="F25" s="121"/>
      <c r="G25" s="121"/>
      <c r="H25" s="121"/>
    </row>
    <row r="26" spans="1:8">
      <c r="A26" s="121" t="s">
        <v>475</v>
      </c>
      <c r="B26" s="121" t="s">
        <v>143</v>
      </c>
      <c r="C26" s="121"/>
      <c r="D26" s="121"/>
      <c r="E26" s="121"/>
      <c r="F26" s="121"/>
      <c r="G26" s="121"/>
      <c r="H26" s="121"/>
    </row>
    <row r="27" spans="1:8">
      <c r="A27" s="121" t="s">
        <v>476</v>
      </c>
      <c r="B27" s="121" t="s">
        <v>144</v>
      </c>
      <c r="C27" s="121"/>
      <c r="D27" s="121"/>
      <c r="E27" s="121"/>
      <c r="F27" s="121"/>
      <c r="G27" s="121"/>
      <c r="H27" s="121"/>
    </row>
    <row r="28" spans="1:8">
      <c r="A28" s="121" t="s">
        <v>477</v>
      </c>
      <c r="B28" s="121" t="s">
        <v>145</v>
      </c>
      <c r="C28" s="121"/>
      <c r="D28" s="121"/>
      <c r="E28" s="121"/>
      <c r="F28" s="121"/>
      <c r="G28" s="121"/>
      <c r="H28" s="121"/>
    </row>
    <row r="29" spans="1:8">
      <c r="A29" s="121" t="s">
        <v>478</v>
      </c>
      <c r="B29" s="121" t="s">
        <v>146</v>
      </c>
      <c r="C29" s="121"/>
      <c r="D29" s="121"/>
      <c r="E29" s="121"/>
      <c r="F29" s="121"/>
      <c r="G29" s="121"/>
      <c r="H29" s="121"/>
    </row>
    <row r="30" spans="1:8">
      <c r="A30" s="121" t="s">
        <v>479</v>
      </c>
      <c r="B30" s="121" t="s">
        <v>147</v>
      </c>
      <c r="C30" s="121"/>
      <c r="D30" s="121"/>
      <c r="E30" s="121"/>
      <c r="F30" s="121"/>
      <c r="G30" s="121"/>
      <c r="H30" s="121"/>
    </row>
    <row r="31" spans="1:8">
      <c r="A31" s="121" t="s">
        <v>480</v>
      </c>
      <c r="B31" s="121"/>
      <c r="C31" s="121"/>
      <c r="D31" s="121"/>
      <c r="E31" s="121"/>
      <c r="F31" s="121"/>
      <c r="G31" s="121"/>
      <c r="H31" s="121"/>
    </row>
    <row r="32" spans="1:8">
      <c r="A32" s="121" t="s">
        <v>481</v>
      </c>
      <c r="B32" s="121"/>
      <c r="C32" s="121"/>
      <c r="D32" s="121"/>
      <c r="E32" s="121"/>
      <c r="F32" s="121"/>
      <c r="G32" s="121"/>
      <c r="H32" s="121"/>
    </row>
    <row r="33" spans="1:17">
      <c r="A33" s="122" t="s">
        <v>482</v>
      </c>
      <c r="B33" s="122"/>
      <c r="C33" s="122"/>
      <c r="D33" s="122"/>
      <c r="E33" s="122"/>
      <c r="F33" s="122"/>
      <c r="G33" s="122"/>
      <c r="H33" s="122"/>
    </row>
    <row r="34" spans="1:17">
      <c r="A34" s="516"/>
      <c r="B34" s="482"/>
      <c r="C34" s="482"/>
      <c r="D34" s="482"/>
      <c r="E34" s="482"/>
      <c r="F34" s="482"/>
      <c r="G34" s="482"/>
      <c r="H34" s="482"/>
      <c r="I34" s="129"/>
      <c r="J34" s="129"/>
      <c r="K34" s="129"/>
      <c r="L34" s="129"/>
      <c r="M34" s="129"/>
      <c r="N34" s="129"/>
      <c r="O34" s="129"/>
      <c r="P34" s="129"/>
      <c r="Q34" s="129"/>
    </row>
    <row r="35" spans="1:17">
      <c r="A35" s="120" t="s">
        <v>613</v>
      </c>
      <c r="B35" s="482"/>
      <c r="C35" s="482"/>
      <c r="D35" s="482"/>
      <c r="E35" s="482"/>
      <c r="F35" s="482"/>
      <c r="G35" s="482"/>
      <c r="H35" s="482"/>
      <c r="I35" s="129"/>
      <c r="J35" s="129"/>
      <c r="K35" s="129"/>
      <c r="L35" s="129"/>
      <c r="M35" s="129"/>
      <c r="N35" s="129"/>
      <c r="O35" s="129"/>
      <c r="P35" s="129"/>
      <c r="Q35" s="129"/>
    </row>
    <row r="36" spans="1:17">
      <c r="A36" s="420" t="s">
        <v>612</v>
      </c>
      <c r="B36" s="482"/>
      <c r="C36" s="482"/>
      <c r="D36" s="482"/>
      <c r="E36" s="482"/>
      <c r="F36" s="482"/>
      <c r="G36" s="482"/>
      <c r="H36" s="482"/>
      <c r="I36" s="129"/>
      <c r="J36" s="129"/>
      <c r="K36" s="129"/>
      <c r="L36" s="129"/>
      <c r="M36" s="129"/>
      <c r="N36" s="129"/>
      <c r="O36" s="129"/>
      <c r="P36" s="129"/>
      <c r="Q36" s="129"/>
    </row>
    <row r="37" spans="1:17">
      <c r="B37" s="129"/>
      <c r="C37" s="129"/>
      <c r="D37" s="129"/>
      <c r="E37" s="129"/>
      <c r="F37" s="517"/>
      <c r="G37" s="517"/>
      <c r="H37" s="129"/>
      <c r="I37" s="129"/>
      <c r="J37" s="129"/>
      <c r="K37" s="129"/>
      <c r="L37" s="129"/>
      <c r="M37" s="129"/>
      <c r="N37" s="129"/>
      <c r="O37" s="129"/>
      <c r="P37" s="129"/>
      <c r="Q37" s="129"/>
    </row>
    <row r="38" spans="1:17">
      <c r="A38" s="120" t="s">
        <v>149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</row>
    <row r="39" spans="1:17">
      <c r="A39" s="420" t="s">
        <v>510</v>
      </c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</row>
    <row r="41" spans="1:17">
      <c r="A41" s="120" t="s">
        <v>150</v>
      </c>
    </row>
    <row r="42" spans="1:17">
      <c r="A42" s="420" t="s">
        <v>511</v>
      </c>
    </row>
    <row r="44" spans="1:17">
      <c r="A44" s="120" t="s">
        <v>457</v>
      </c>
    </row>
    <row r="45" spans="1:17">
      <c r="A45" s="123" t="s">
        <v>48</v>
      </c>
    </row>
    <row r="46" spans="1:17">
      <c r="A46" s="124" t="s">
        <v>49</v>
      </c>
    </row>
    <row r="48" spans="1:17">
      <c r="A48" s="127" t="s">
        <v>151</v>
      </c>
    </row>
    <row r="49" spans="1:1">
      <c r="A49" s="128" t="s">
        <v>46</v>
      </c>
    </row>
    <row r="50" spans="1:1">
      <c r="A50" s="128" t="s">
        <v>152</v>
      </c>
    </row>
    <row r="51" spans="1:1">
      <c r="A51" s="126" t="s">
        <v>153</v>
      </c>
    </row>
    <row r="53" spans="1:1">
      <c r="A53" s="120" t="s">
        <v>154</v>
      </c>
    </row>
    <row r="54" spans="1:1">
      <c r="A54" s="125" t="s">
        <v>500</v>
      </c>
    </row>
    <row r="55" spans="1:1">
      <c r="A55" s="123" t="s">
        <v>501</v>
      </c>
    </row>
    <row r="56" spans="1:1">
      <c r="A56" s="123" t="s">
        <v>502</v>
      </c>
    </row>
    <row r="57" spans="1:1">
      <c r="A57" s="123" t="s">
        <v>503</v>
      </c>
    </row>
    <row r="58" spans="1:1">
      <c r="A58" s="124" t="s">
        <v>623</v>
      </c>
    </row>
    <row r="60" spans="1:1">
      <c r="A60" s="120" t="s">
        <v>155</v>
      </c>
    </row>
    <row r="61" spans="1:1">
      <c r="A61" s="123" t="s">
        <v>46</v>
      </c>
    </row>
    <row r="62" spans="1:1">
      <c r="A62" s="124" t="s">
        <v>51</v>
      </c>
    </row>
    <row r="63" spans="1:1">
      <c r="A63" s="129"/>
    </row>
    <row r="64" spans="1:1">
      <c r="A64" s="127" t="s">
        <v>303</v>
      </c>
    </row>
    <row r="65" spans="1:1">
      <c r="A65" s="128" t="s">
        <v>579</v>
      </c>
    </row>
    <row r="66" spans="1:1">
      <c r="A66" s="126" t="s">
        <v>53</v>
      </c>
    </row>
    <row r="67" spans="1:1">
      <c r="A67" s="129"/>
    </row>
    <row r="68" spans="1:1">
      <c r="A68" s="120" t="s">
        <v>584</v>
      </c>
    </row>
    <row r="69" spans="1:1">
      <c r="A69" s="125" t="s">
        <v>240</v>
      </c>
    </row>
    <row r="70" spans="1:1">
      <c r="A70" s="124" t="s">
        <v>241</v>
      </c>
    </row>
    <row r="71" spans="1:1">
      <c r="A71" s="123"/>
    </row>
    <row r="72" spans="1:1">
      <c r="A72" s="120" t="s">
        <v>302</v>
      </c>
    </row>
    <row r="73" spans="1:1">
      <c r="A73" s="125" t="s">
        <v>581</v>
      </c>
    </row>
    <row r="74" spans="1:1">
      <c r="A74" s="123" t="s">
        <v>580</v>
      </c>
    </row>
    <row r="75" spans="1:1">
      <c r="A75" s="123" t="s">
        <v>582</v>
      </c>
    </row>
    <row r="76" spans="1:1">
      <c r="A76" s="124" t="s">
        <v>583</v>
      </c>
    </row>
    <row r="77" spans="1:1">
      <c r="A77" s="256"/>
    </row>
    <row r="78" spans="1:1">
      <c r="A78" s="127" t="s">
        <v>530</v>
      </c>
    </row>
    <row r="79" spans="1:1">
      <c r="A79" s="244" t="s">
        <v>532</v>
      </c>
    </row>
    <row r="80" spans="1:1">
      <c r="A80" s="126" t="s">
        <v>533</v>
      </c>
    </row>
    <row r="81" spans="1:1">
      <c r="A81" s="6"/>
    </row>
    <row r="82" spans="1:1">
      <c r="A82" s="127" t="s">
        <v>531</v>
      </c>
    </row>
    <row r="83" spans="1:1">
      <c r="A83" s="244" t="s">
        <v>532</v>
      </c>
    </row>
    <row r="84" spans="1:1">
      <c r="A84" s="126" t="s">
        <v>42</v>
      </c>
    </row>
    <row r="85" spans="1:1">
      <c r="A85" s="6"/>
    </row>
    <row r="86" spans="1:1">
      <c r="A86" s="127" t="s">
        <v>614</v>
      </c>
    </row>
    <row r="87" spans="1:1">
      <c r="A87" s="244" t="s">
        <v>532</v>
      </c>
    </row>
    <row r="88" spans="1:1">
      <c r="A88" s="128" t="s">
        <v>616</v>
      </c>
    </row>
    <row r="89" spans="1:1">
      <c r="A89" s="126" t="s">
        <v>615</v>
      </c>
    </row>
    <row r="90" spans="1:1">
      <c r="A90" s="6"/>
    </row>
    <row r="91" spans="1:1">
      <c r="A91" s="127" t="s">
        <v>156</v>
      </c>
    </row>
    <row r="92" spans="1:1">
      <c r="A92" s="128" t="s">
        <v>46</v>
      </c>
    </row>
    <row r="93" spans="1:1">
      <c r="A93" s="128" t="s">
        <v>169</v>
      </c>
    </row>
    <row r="94" spans="1:1">
      <c r="A94" s="128" t="s">
        <v>157</v>
      </c>
    </row>
    <row r="95" spans="1:1">
      <c r="A95" s="126" t="s">
        <v>158</v>
      </c>
    </row>
    <row r="97" spans="1:1">
      <c r="A97" s="127" t="s">
        <v>159</v>
      </c>
    </row>
    <row r="98" spans="1:1">
      <c r="A98" s="128" t="s">
        <v>46</v>
      </c>
    </row>
    <row r="99" spans="1:1">
      <c r="A99" s="126" t="s">
        <v>160</v>
      </c>
    </row>
    <row r="100" spans="1:1">
      <c r="A100" s="6"/>
    </row>
    <row r="101" spans="1:1">
      <c r="A101" s="120" t="s">
        <v>161</v>
      </c>
    </row>
    <row r="102" spans="1:1">
      <c r="A102" s="121">
        <v>600</v>
      </c>
    </row>
    <row r="103" spans="1:1">
      <c r="A103" s="122" t="s">
        <v>52</v>
      </c>
    </row>
    <row r="105" spans="1:1">
      <c r="A105" s="120" t="s">
        <v>162</v>
      </c>
    </row>
    <row r="106" spans="1:1">
      <c r="A106" s="130">
        <v>1</v>
      </c>
    </row>
    <row r="107" spans="1:1">
      <c r="A107" s="130">
        <v>2</v>
      </c>
    </row>
    <row r="108" spans="1:1">
      <c r="A108" s="131">
        <v>3</v>
      </c>
    </row>
    <row r="109" spans="1:1">
      <c r="A109" s="130">
        <v>4</v>
      </c>
    </row>
    <row r="110" spans="1:1">
      <c r="A110" s="130">
        <v>5</v>
      </c>
    </row>
    <row r="111" spans="1:1">
      <c r="A111" s="132">
        <v>6</v>
      </c>
    </row>
    <row r="113" spans="1:3">
      <c r="A113" s="424" t="s">
        <v>378</v>
      </c>
      <c r="B113" s="421" t="s">
        <v>456</v>
      </c>
      <c r="C113" s="422"/>
    </row>
    <row r="114" spans="1:3">
      <c r="A114" s="134" t="s">
        <v>443</v>
      </c>
      <c r="B114" s="388">
        <v>-40</v>
      </c>
      <c r="C114" s="423"/>
    </row>
    <row r="115" spans="1:3">
      <c r="A115" s="201" t="s">
        <v>448</v>
      </c>
      <c r="B115" s="387">
        <v>-40</v>
      </c>
      <c r="C115" s="423"/>
    </row>
    <row r="116" spans="1:3">
      <c r="A116" s="201" t="s">
        <v>382</v>
      </c>
      <c r="B116" s="387">
        <v>-31</v>
      </c>
      <c r="C116" s="423"/>
    </row>
    <row r="117" spans="1:3">
      <c r="A117" s="201" t="s">
        <v>383</v>
      </c>
      <c r="B117" s="387">
        <v>-23</v>
      </c>
      <c r="C117" s="423"/>
    </row>
    <row r="118" spans="1:3">
      <c r="A118" s="201" t="s">
        <v>380</v>
      </c>
      <c r="B118" s="387">
        <v>-39</v>
      </c>
      <c r="C118" s="423"/>
    </row>
    <row r="119" spans="1:3">
      <c r="A119" s="201" t="s">
        <v>385</v>
      </c>
      <c r="B119" s="387">
        <v>-23</v>
      </c>
      <c r="C119" s="423"/>
    </row>
    <row r="120" spans="1:3">
      <c r="A120" s="201" t="s">
        <v>381</v>
      </c>
      <c r="B120" s="387">
        <v>-34</v>
      </c>
      <c r="C120" s="423"/>
    </row>
    <row r="121" spans="1:3">
      <c r="A121" s="201" t="s">
        <v>386</v>
      </c>
      <c r="B121" s="387">
        <v>-26</v>
      </c>
      <c r="C121" s="423"/>
    </row>
    <row r="122" spans="1:3">
      <c r="A122" s="201" t="s">
        <v>422</v>
      </c>
      <c r="B122" s="387">
        <v>-24</v>
      </c>
      <c r="C122" s="423"/>
    </row>
    <row r="123" spans="1:3">
      <c r="A123" s="201" t="s">
        <v>430</v>
      </c>
      <c r="B123" s="387">
        <v>-18</v>
      </c>
      <c r="C123" s="423"/>
    </row>
    <row r="124" spans="1:3">
      <c r="A124" s="201" t="s">
        <v>388</v>
      </c>
      <c r="B124" s="387">
        <v>-28</v>
      </c>
      <c r="C124" s="423"/>
    </row>
    <row r="125" spans="1:3">
      <c r="A125" s="201" t="s">
        <v>389</v>
      </c>
      <c r="B125" s="387">
        <v>-25</v>
      </c>
      <c r="C125" s="423"/>
    </row>
    <row r="126" spans="1:3">
      <c r="A126" s="201" t="s">
        <v>390</v>
      </c>
      <c r="B126" s="387">
        <v>-32</v>
      </c>
      <c r="C126" s="423"/>
    </row>
    <row r="127" spans="1:3">
      <c r="A127" s="201" t="s">
        <v>391</v>
      </c>
      <c r="B127" s="387">
        <v>-26</v>
      </c>
      <c r="C127" s="423"/>
    </row>
    <row r="128" spans="1:3">
      <c r="A128" s="201" t="s">
        <v>445</v>
      </c>
      <c r="B128" s="387">
        <v>-18</v>
      </c>
      <c r="C128" s="423"/>
    </row>
    <row r="129" spans="1:3">
      <c r="A129" s="201" t="s">
        <v>427</v>
      </c>
      <c r="B129" s="387">
        <v>-35</v>
      </c>
      <c r="C129" s="423"/>
    </row>
    <row r="130" spans="1:3">
      <c r="A130" s="201" t="s">
        <v>393</v>
      </c>
      <c r="B130" s="387">
        <v>-30</v>
      </c>
      <c r="C130" s="423"/>
    </row>
    <row r="131" spans="1:3">
      <c r="A131" s="201" t="s">
        <v>440</v>
      </c>
      <c r="B131" s="387">
        <v>-34</v>
      </c>
      <c r="C131" s="423"/>
    </row>
    <row r="132" spans="1:3">
      <c r="A132" s="201" t="s">
        <v>394</v>
      </c>
      <c r="B132" s="387">
        <v>-36</v>
      </c>
      <c r="C132" s="423"/>
    </row>
    <row r="133" spans="1:3">
      <c r="A133" s="201" t="s">
        <v>411</v>
      </c>
      <c r="B133" s="387">
        <v>-34</v>
      </c>
      <c r="C133" s="423"/>
    </row>
    <row r="134" spans="1:3">
      <c r="A134" s="201" t="s">
        <v>434</v>
      </c>
      <c r="B134" s="387">
        <v>-32</v>
      </c>
      <c r="C134" s="423"/>
    </row>
    <row r="135" spans="1:3">
      <c r="A135" s="201" t="s">
        <v>396</v>
      </c>
      <c r="B135" s="387">
        <v>-19</v>
      </c>
      <c r="C135" s="423"/>
    </row>
    <row r="136" spans="1:3">
      <c r="A136" s="201" t="s">
        <v>398</v>
      </c>
      <c r="B136" s="387">
        <v>-27</v>
      </c>
      <c r="C136" s="423"/>
    </row>
    <row r="137" spans="1:3">
      <c r="A137" s="201" t="s">
        <v>401</v>
      </c>
      <c r="B137" s="387">
        <v>-39</v>
      </c>
      <c r="C137" s="423"/>
    </row>
    <row r="138" spans="1:3">
      <c r="A138" s="201" t="s">
        <v>453</v>
      </c>
      <c r="B138" s="387">
        <v>-33</v>
      </c>
      <c r="C138" s="423"/>
    </row>
    <row r="139" spans="1:3">
      <c r="A139" s="201" t="s">
        <v>403</v>
      </c>
      <c r="B139" s="387">
        <v>-31</v>
      </c>
      <c r="C139" s="423"/>
    </row>
    <row r="140" spans="1:3">
      <c r="A140" s="201" t="s">
        <v>404</v>
      </c>
      <c r="B140" s="387">
        <v>-19</v>
      </c>
      <c r="C140" s="423"/>
    </row>
    <row r="141" spans="1:3">
      <c r="A141" s="201" t="s">
        <v>406</v>
      </c>
      <c r="B141" s="387">
        <v>-40</v>
      </c>
      <c r="C141" s="423"/>
    </row>
    <row r="142" spans="1:3">
      <c r="A142" s="201" t="s">
        <v>407</v>
      </c>
      <c r="B142" s="387">
        <v>-37</v>
      </c>
      <c r="C142" s="423"/>
    </row>
    <row r="143" spans="1:3">
      <c r="A143" s="201" t="s">
        <v>408</v>
      </c>
      <c r="B143" s="387">
        <v>-26</v>
      </c>
      <c r="C143" s="423"/>
    </row>
    <row r="144" spans="1:3">
      <c r="A144" s="201" t="s">
        <v>437</v>
      </c>
      <c r="B144" s="387">
        <v>-47</v>
      </c>
      <c r="C144" s="423"/>
    </row>
    <row r="145" spans="1:3">
      <c r="A145" s="201" t="s">
        <v>409</v>
      </c>
      <c r="B145" s="387">
        <v>-27</v>
      </c>
      <c r="C145" s="423"/>
    </row>
    <row r="146" spans="1:3">
      <c r="A146" s="201" t="s">
        <v>454</v>
      </c>
      <c r="B146" s="387">
        <v>-29</v>
      </c>
      <c r="C146" s="423"/>
    </row>
    <row r="147" spans="1:3">
      <c r="A147" s="201" t="s">
        <v>379</v>
      </c>
      <c r="B147" s="387">
        <v>-19</v>
      </c>
      <c r="C147" s="423"/>
    </row>
    <row r="148" spans="1:3">
      <c r="A148" s="201" t="s">
        <v>392</v>
      </c>
      <c r="B148" s="387">
        <v>-14</v>
      </c>
      <c r="C148" s="423"/>
    </row>
    <row r="149" spans="1:3">
      <c r="A149" s="201" t="s">
        <v>413</v>
      </c>
      <c r="B149" s="387">
        <v>-28</v>
      </c>
      <c r="C149" s="423"/>
    </row>
    <row r="150" spans="1:3">
      <c r="A150" s="201" t="s">
        <v>414</v>
      </c>
      <c r="B150" s="387">
        <v>-27</v>
      </c>
      <c r="C150" s="423"/>
    </row>
    <row r="151" spans="1:3">
      <c r="A151" s="201" t="s">
        <v>395</v>
      </c>
      <c r="B151" s="387">
        <v>-18</v>
      </c>
      <c r="C151" s="423"/>
    </row>
    <row r="152" spans="1:3">
      <c r="A152" s="201" t="s">
        <v>450</v>
      </c>
      <c r="B152" s="387">
        <v>-37</v>
      </c>
      <c r="C152" s="423"/>
    </row>
    <row r="153" spans="1:3">
      <c r="A153" s="201" t="s">
        <v>535</v>
      </c>
      <c r="B153" s="387">
        <v>-31</v>
      </c>
      <c r="C153" s="423"/>
    </row>
    <row r="154" spans="1:3">
      <c r="A154" s="201" t="s">
        <v>415</v>
      </c>
      <c r="B154" s="387">
        <v>-27</v>
      </c>
      <c r="C154" s="423"/>
    </row>
    <row r="155" spans="1:3">
      <c r="A155" s="201" t="s">
        <v>416</v>
      </c>
      <c r="B155" s="387">
        <v>-39</v>
      </c>
      <c r="C155" s="423"/>
    </row>
    <row r="156" spans="1:3">
      <c r="A156" s="201" t="s">
        <v>417</v>
      </c>
      <c r="B156" s="387">
        <v>-37</v>
      </c>
      <c r="C156" s="423"/>
    </row>
    <row r="157" spans="1:3">
      <c r="A157" s="201" t="s">
        <v>419</v>
      </c>
      <c r="B157" s="387">
        <v>-26</v>
      </c>
      <c r="C157" s="423"/>
    </row>
    <row r="158" spans="1:3">
      <c r="A158" s="201" t="s">
        <v>418</v>
      </c>
      <c r="B158" s="387">
        <v>-31</v>
      </c>
      <c r="C158" s="423"/>
    </row>
    <row r="159" spans="1:3">
      <c r="A159" s="201" t="s">
        <v>420</v>
      </c>
      <c r="B159" s="387">
        <v>-29</v>
      </c>
      <c r="C159" s="423"/>
    </row>
    <row r="160" spans="1:3">
      <c r="A160" s="201" t="s">
        <v>421</v>
      </c>
      <c r="B160" s="387">
        <v>-35</v>
      </c>
      <c r="C160" s="423"/>
    </row>
    <row r="161" spans="1:3">
      <c r="A161" s="201" t="s">
        <v>400</v>
      </c>
      <c r="B161" s="387">
        <v>-29</v>
      </c>
      <c r="C161" s="423"/>
    </row>
    <row r="162" spans="1:3">
      <c r="A162" s="201" t="s">
        <v>534</v>
      </c>
      <c r="B162" s="387">
        <v>-20</v>
      </c>
      <c r="C162" s="423"/>
    </row>
    <row r="163" spans="1:3">
      <c r="A163" s="201" t="s">
        <v>423</v>
      </c>
      <c r="B163" s="387">
        <v>-26</v>
      </c>
      <c r="C163" s="423"/>
    </row>
    <row r="164" spans="1:3">
      <c r="A164" s="201" t="s">
        <v>424</v>
      </c>
      <c r="B164" s="387">
        <v>-22</v>
      </c>
      <c r="C164" s="423"/>
    </row>
    <row r="165" spans="1:3">
      <c r="A165" s="201" t="s">
        <v>425</v>
      </c>
      <c r="B165" s="387">
        <v>-27</v>
      </c>
      <c r="C165" s="423"/>
    </row>
    <row r="166" spans="1:3">
      <c r="A166" s="201" t="s">
        <v>426</v>
      </c>
      <c r="B166" s="387">
        <v>-30</v>
      </c>
      <c r="C166" s="423"/>
    </row>
    <row r="167" spans="1:3">
      <c r="A167" s="201" t="s">
        <v>410</v>
      </c>
      <c r="B167" s="387">
        <v>-26</v>
      </c>
      <c r="C167" s="423"/>
    </row>
    <row r="168" spans="1:3">
      <c r="A168" s="201" t="s">
        <v>412</v>
      </c>
      <c r="B168" s="387">
        <v>-30</v>
      </c>
      <c r="C168" s="423"/>
    </row>
    <row r="169" spans="1:3">
      <c r="A169" s="201" t="s">
        <v>428</v>
      </c>
      <c r="B169" s="387">
        <v>-27</v>
      </c>
      <c r="C169" s="423"/>
    </row>
    <row r="170" spans="1:3">
      <c r="A170" s="201" t="s">
        <v>452</v>
      </c>
      <c r="B170" s="387">
        <v>-15</v>
      </c>
      <c r="C170" s="423"/>
    </row>
    <row r="171" spans="1:3">
      <c r="A171" s="201" t="s">
        <v>431</v>
      </c>
      <c r="B171" s="387">
        <v>-26</v>
      </c>
      <c r="C171" s="423"/>
    </row>
    <row r="172" spans="1:3">
      <c r="A172" s="201" t="s">
        <v>405</v>
      </c>
      <c r="B172" s="387">
        <v>-3</v>
      </c>
      <c r="C172" s="423"/>
    </row>
    <row r="173" spans="1:3">
      <c r="A173" s="201" t="s">
        <v>432</v>
      </c>
      <c r="B173" s="387">
        <v>-19</v>
      </c>
      <c r="C173" s="423"/>
    </row>
    <row r="174" spans="1:3">
      <c r="A174" s="201" t="s">
        <v>455</v>
      </c>
      <c r="B174" s="387">
        <v>-43</v>
      </c>
      <c r="C174" s="423"/>
    </row>
    <row r="175" spans="1:3">
      <c r="A175" s="201" t="s">
        <v>402</v>
      </c>
      <c r="B175" s="387">
        <v>-36</v>
      </c>
      <c r="C175" s="423"/>
    </row>
    <row r="176" spans="1:3">
      <c r="A176" s="201" t="s">
        <v>433</v>
      </c>
      <c r="B176" s="387">
        <v>-28</v>
      </c>
      <c r="C176" s="423"/>
    </row>
    <row r="177" spans="1:3">
      <c r="A177" s="201" t="s">
        <v>435</v>
      </c>
      <c r="B177" s="387">
        <v>-29</v>
      </c>
      <c r="C177" s="423"/>
    </row>
    <row r="178" spans="1:3">
      <c r="A178" s="201" t="s">
        <v>436</v>
      </c>
      <c r="B178" s="387">
        <v>-40</v>
      </c>
      <c r="C178" s="423"/>
    </row>
    <row r="179" spans="1:3">
      <c r="A179" s="201" t="s">
        <v>438</v>
      </c>
      <c r="B179" s="387">
        <v>-27</v>
      </c>
      <c r="C179" s="423"/>
    </row>
    <row r="180" spans="1:3">
      <c r="A180" s="201" t="s">
        <v>439</v>
      </c>
      <c r="B180" s="387">
        <v>-38</v>
      </c>
      <c r="C180" s="423"/>
    </row>
    <row r="181" spans="1:3">
      <c r="A181" s="201" t="s">
        <v>387</v>
      </c>
      <c r="B181" s="387">
        <v>-37</v>
      </c>
      <c r="C181" s="423"/>
    </row>
    <row r="182" spans="1:3">
      <c r="A182" s="201" t="s">
        <v>441</v>
      </c>
      <c r="B182" s="387">
        <v>-31</v>
      </c>
      <c r="C182" s="423"/>
    </row>
    <row r="183" spans="1:3">
      <c r="A183" s="201" t="s">
        <v>384</v>
      </c>
      <c r="B183" s="387">
        <v>-35</v>
      </c>
      <c r="C183" s="423"/>
    </row>
    <row r="184" spans="1:3">
      <c r="A184" s="201" t="s">
        <v>442</v>
      </c>
      <c r="B184" s="387">
        <v>-31</v>
      </c>
      <c r="C184" s="423"/>
    </row>
    <row r="185" spans="1:3">
      <c r="A185" s="201" t="s">
        <v>447</v>
      </c>
      <c r="B185" s="387">
        <v>-32</v>
      </c>
      <c r="C185" s="423"/>
    </row>
    <row r="186" spans="1:3">
      <c r="A186" s="201" t="s">
        <v>444</v>
      </c>
      <c r="B186" s="387">
        <v>-34</v>
      </c>
      <c r="C186" s="423"/>
    </row>
    <row r="187" spans="1:3">
      <c r="A187" s="201" t="s">
        <v>399</v>
      </c>
      <c r="B187" s="387">
        <v>-18</v>
      </c>
      <c r="C187" s="423"/>
    </row>
    <row r="188" spans="1:3">
      <c r="A188" s="201" t="s">
        <v>446</v>
      </c>
      <c r="B188" s="387">
        <v>-38</v>
      </c>
      <c r="C188" s="423"/>
    </row>
    <row r="189" spans="1:3">
      <c r="A189" s="201" t="s">
        <v>397</v>
      </c>
      <c r="B189" s="387">
        <v>-23</v>
      </c>
      <c r="C189" s="423"/>
    </row>
    <row r="190" spans="1:3">
      <c r="A190" s="201" t="s">
        <v>429</v>
      </c>
      <c r="B190" s="387">
        <v>-24</v>
      </c>
      <c r="C190" s="423"/>
    </row>
    <row r="191" spans="1:3">
      <c r="A191" s="201" t="s">
        <v>449</v>
      </c>
      <c r="B191" s="387">
        <v>-54</v>
      </c>
      <c r="C191" s="423"/>
    </row>
    <row r="192" spans="1:3">
      <c r="A192" s="389" t="s">
        <v>451</v>
      </c>
      <c r="B192" s="390">
        <v>-31</v>
      </c>
      <c r="C192" s="423"/>
    </row>
  </sheetData>
  <customSheetViews>
    <customSheetView guid="{0C99ABE2-728B-4C30-A993-CD651C64FAAE}" state="hidden">
      <pageMargins left="0.7" right="0.7" top="0.75" bottom="0.75" header="0.3" footer="0.3"/>
      <pageSetup paperSize="9" orientation="portrait" r:id="rId1"/>
    </customSheetView>
    <customSheetView guid="{2BA56ECA-30F6-456D-AB26-04DD1698A098}" state="hidden"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215967"/>
  </sheetPr>
  <dimension ref="A1:W59"/>
  <sheetViews>
    <sheetView zoomScaleNormal="100" workbookViewId="0">
      <pane xSplit="3" ySplit="3" topLeftCell="L37" activePane="bottomRight" state="frozen"/>
      <selection pane="topRight" activeCell="D1" sqref="D1"/>
      <selection pane="bottomLeft" activeCell="A4" sqref="A4"/>
      <selection pane="bottomRight" activeCell="C43" sqref="C43"/>
    </sheetView>
  </sheetViews>
  <sheetFormatPr defaultColWidth="8.88671875" defaultRowHeight="14.4"/>
  <cols>
    <col min="1" max="1" width="12.6640625" style="14" customWidth="1"/>
    <col min="2" max="2" width="15.6640625" style="14" customWidth="1"/>
    <col min="3" max="4" width="12.6640625" style="16" customWidth="1"/>
    <col min="5" max="23" width="12.6640625" style="14" customWidth="1"/>
    <col min="24" max="16384" width="8.88671875" style="14"/>
  </cols>
  <sheetData>
    <row r="1" spans="1:23">
      <c r="A1" s="573" t="s">
        <v>127</v>
      </c>
      <c r="B1" s="391"/>
      <c r="C1" s="576" t="s">
        <v>460</v>
      </c>
      <c r="D1" s="570" t="s">
        <v>133</v>
      </c>
      <c r="E1" s="571"/>
      <c r="F1" s="571"/>
      <c r="G1" s="571"/>
      <c r="H1" s="571"/>
      <c r="I1" s="571"/>
      <c r="J1" s="571"/>
      <c r="K1" s="572"/>
      <c r="L1" s="570" t="s">
        <v>134</v>
      </c>
      <c r="M1" s="571"/>
      <c r="N1" s="571"/>
      <c r="O1" s="571"/>
      <c r="P1" s="571"/>
      <c r="Q1" s="571"/>
      <c r="R1" s="571"/>
      <c r="S1" s="572"/>
      <c r="T1" s="573" t="s">
        <v>135</v>
      </c>
      <c r="U1" s="576" t="s">
        <v>41</v>
      </c>
      <c r="V1" s="576"/>
      <c r="W1" s="573" t="s">
        <v>136</v>
      </c>
    </row>
    <row r="2" spans="1:23">
      <c r="A2" s="574"/>
      <c r="B2" s="395" t="s">
        <v>94</v>
      </c>
      <c r="C2" s="576"/>
      <c r="D2" s="393" t="s">
        <v>461</v>
      </c>
      <c r="E2" s="118" t="s">
        <v>47</v>
      </c>
      <c r="F2" s="118" t="s">
        <v>50</v>
      </c>
      <c r="G2" s="118" t="s">
        <v>53</v>
      </c>
      <c r="H2" s="118" t="s">
        <v>54</v>
      </c>
      <c r="I2" s="118" t="s">
        <v>55</v>
      </c>
      <c r="J2" s="118" t="s">
        <v>137</v>
      </c>
      <c r="K2" s="118" t="s">
        <v>136</v>
      </c>
      <c r="L2" s="394" t="s">
        <v>461</v>
      </c>
      <c r="M2" s="118" t="s">
        <v>47</v>
      </c>
      <c r="N2" s="118" t="s">
        <v>50</v>
      </c>
      <c r="O2" s="118" t="s">
        <v>53</v>
      </c>
      <c r="P2" s="118" t="s">
        <v>54</v>
      </c>
      <c r="Q2" s="118" t="s">
        <v>55</v>
      </c>
      <c r="R2" s="118" t="s">
        <v>137</v>
      </c>
      <c r="S2" s="118" t="s">
        <v>136</v>
      </c>
      <c r="T2" s="575"/>
      <c r="U2" s="510" t="s">
        <v>611</v>
      </c>
      <c r="V2" s="510" t="s">
        <v>59</v>
      </c>
      <c r="W2" s="575"/>
    </row>
    <row r="3" spans="1:23">
      <c r="A3" s="575"/>
      <c r="B3" s="392"/>
      <c r="C3" s="118" t="s">
        <v>138</v>
      </c>
      <c r="D3" s="119" t="b">
        <f t="shared" ref="D3:J3" si="0">NOT(IFERROR(MATCH(0,D4:D998,-1)&gt;0,FALSE))</f>
        <v>1</v>
      </c>
      <c r="E3" s="119" t="b">
        <f t="shared" si="0"/>
        <v>1</v>
      </c>
      <c r="F3" s="119" t="b">
        <f t="shared" si="0"/>
        <v>0</v>
      </c>
      <c r="G3" s="119" t="b">
        <f t="shared" si="0"/>
        <v>1</v>
      </c>
      <c r="H3" s="119" t="b">
        <f t="shared" si="0"/>
        <v>1</v>
      </c>
      <c r="I3" s="119" t="b">
        <f t="shared" si="0"/>
        <v>1</v>
      </c>
      <c r="J3" s="119" t="b">
        <f t="shared" si="0"/>
        <v>1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 t="b">
        <f>NOT(IFERROR(MATCH(0,U4:U998,-1)&gt;0,FALSE))</f>
        <v>1</v>
      </c>
      <c r="V3" s="119">
        <f ca="1">MIN(V4:V998)</f>
        <v>0</v>
      </c>
      <c r="W3" s="119" t="e">
        <f ca="1">MATCH(V3,V4:V998,0)</f>
        <v>#N/A</v>
      </c>
    </row>
    <row r="4" spans="1:23">
      <c r="A4" s="409" t="s">
        <v>458</v>
      </c>
      <c r="B4" s="410" t="s">
        <v>483</v>
      </c>
      <c r="C4" s="410" t="s">
        <v>483</v>
      </c>
      <c r="D4" s="410"/>
      <c r="E4" s="410" t="e">
        <f t="shared" ref="E4:E14" si="1">IF(AND(Задача_ТипКод=$A4,Задача_Заслонка),MATCH(CONCATENATE($C4,"=ИСТИНА"),Оборудование_ЗаслонкиПроверка,0),TRUE)</f>
        <v>#N/A</v>
      </c>
      <c r="F4" s="410" t="e">
        <f t="shared" ref="F4:F14" si="2">IF(AND(Задача_ТипКод=$A4,Задача_Фильтр),MATCH(CONCATENATE($C4,"=ИСТИНА"),Оборудование_ФильтрыПроверка,0),TRUE)</f>
        <v>#N/A</v>
      </c>
      <c r="G4" s="410" t="b">
        <f>IF(AND(Задача_ТипКод=A4,Задача_Рекуператор),MATCH(CONCATENATE($C4,"=ИСТИНА"),ПП_Оборудование!I$370:I$378,0),TRUE)</f>
        <v>1</v>
      </c>
      <c r="H4" s="410" t="e">
        <f>IF(AND(Задача_ТипКод=A4,Задача_Нагреватель),MATCH(CONCATENATE($B4,"=ИСТИНА"),ПП_Оборудование!$I$287:$I$366,0),TRUE)</f>
        <v>#N/A</v>
      </c>
      <c r="I4" s="411"/>
      <c r="J4" s="410" t="e">
        <f t="shared" ref="J4:J14" si="3">IF(AND(Задача_ТипКод=$A4,Задача_Шумоглушитель),MATCH(CONCATENATE($C4,"=ИСТИНА"),Оборудование_ШумоглушителиПроверка,0),TRUE)</f>
        <v>#N/A</v>
      </c>
      <c r="K4" s="411" t="b">
        <f>IFERROR(AND(E4:J4),FALSE)</f>
        <v>0</v>
      </c>
      <c r="L4" s="411"/>
      <c r="M4" s="412" t="e">
        <f t="shared" ref="M4:M14" ca="1" si="4">IF(Задача_Заслонка,OFFSET(Оборудование_Заслонки,E4+1,7),"")</f>
        <v>#N/A</v>
      </c>
      <c r="N4" s="412" t="e">
        <f t="shared" ref="N4:N14" ca="1" si="5">IF(Задача_Фильтр,OFFSET(Оборудование_Фильтры,F4+1,7),"")</f>
        <v>#N/A</v>
      </c>
      <c r="O4" s="412" t="str">
        <f t="shared" ref="O4:O14" ca="1" si="6">IF(Задача_Рекуператор,OFFSET(Оборудование_Рекуператоры,G4+1,7),"")</f>
        <v/>
      </c>
      <c r="P4" s="412" t="e">
        <f t="shared" ref="P4:P14" ca="1" si="7">IF(Задача_Нагреватель,OFFSET(Оборудование_Нагреватели,H4+1,7),"")</f>
        <v>#N/A</v>
      </c>
      <c r="Q4" s="410"/>
      <c r="R4" s="412" t="e">
        <f t="shared" ref="R4:R14" ca="1" si="8">IF(Задача_Шумоглушитель,OFFSET(Оборудование_Шумоглушители,J4+1,7),"")</f>
        <v>#N/A</v>
      </c>
      <c r="S4" s="412" t="e">
        <f ca="1">SUM(L4:R4)</f>
        <v>#N/A</v>
      </c>
      <c r="T4" s="412" t="e">
        <f t="shared" ref="T4:T23" ca="1" si="9">S4+Задача_Напор</f>
        <v>#N/A</v>
      </c>
      <c r="U4" s="410" t="e">
        <f>IF(Задача_Вентилятор,MATCH(CONCATENATE($C4,"=ИСТИНА"),ПП_Оборудование!$I$3:$I$118,0),TRUE)</f>
        <v>#N/A</v>
      </c>
      <c r="V4" s="410" t="str">
        <f t="shared" ref="V4:V23" ca="1" si="10">IFERROR(IF(W4,OFFSET(Оборудование_Вентиляторы,U4+1,4),"-"),"-")</f>
        <v>-</v>
      </c>
      <c r="W4" s="413" t="e">
        <f t="shared" ref="W4:W14" si="11">AND(Задача_ТипКод=A4,OR(Задача_Размер=Значение_Авто,Задача_Размер=B4),K4,U4)</f>
        <v>#REF!</v>
      </c>
    </row>
    <row r="5" spans="1:23">
      <c r="A5" s="414" t="s">
        <v>458</v>
      </c>
      <c r="B5" s="36" t="s">
        <v>472</v>
      </c>
      <c r="C5" s="36" t="s">
        <v>472</v>
      </c>
      <c r="D5" s="36"/>
      <c r="E5" s="36" t="e">
        <f t="shared" si="1"/>
        <v>#N/A</v>
      </c>
      <c r="F5" s="36" t="e">
        <f t="shared" si="2"/>
        <v>#N/A</v>
      </c>
      <c r="G5" s="36" t="b">
        <f>IF(AND(Задача_ТипКод=A5,Задача_Рекуператор),MATCH(CONCATENATE($C5,"=ИСТИНА"),ПП_Оборудование!I$370:I$378,0),TRUE)</f>
        <v>1</v>
      </c>
      <c r="H5" s="36" t="e">
        <f>IF(AND(Задача_ТипКод=A5,Задача_Нагреватель),MATCH(CONCATENATE($B5,"=ИСТИНА"),ПП_Оборудование!$I$287:$I$366,0),TRUE)</f>
        <v>#N/A</v>
      </c>
      <c r="I5" s="415"/>
      <c r="J5" s="36" t="e">
        <f t="shared" si="3"/>
        <v>#N/A</v>
      </c>
      <c r="K5" s="415" t="b">
        <f t="shared" ref="K5:K23" si="12">IFERROR(AND(E5:J5),FALSE)</f>
        <v>0</v>
      </c>
      <c r="L5" s="415"/>
      <c r="M5" s="35" t="e">
        <f t="shared" ca="1" si="4"/>
        <v>#N/A</v>
      </c>
      <c r="N5" s="35" t="e">
        <f t="shared" ca="1" si="5"/>
        <v>#N/A</v>
      </c>
      <c r="O5" s="35" t="str">
        <f t="shared" ca="1" si="6"/>
        <v/>
      </c>
      <c r="P5" s="35" t="e">
        <f t="shared" ca="1" si="7"/>
        <v>#N/A</v>
      </c>
      <c r="Q5" s="36"/>
      <c r="R5" s="35" t="e">
        <f t="shared" ca="1" si="8"/>
        <v>#N/A</v>
      </c>
      <c r="S5" s="35" t="e">
        <f t="shared" ref="S5:S14" ca="1" si="13">SUM(L5:R5)</f>
        <v>#N/A</v>
      </c>
      <c r="T5" s="35" t="e">
        <f t="shared" ca="1" si="9"/>
        <v>#N/A</v>
      </c>
      <c r="U5" s="36" t="e">
        <f>IF(Задача_Вентилятор,MATCH(CONCATENATE($C5,"=ИСТИНА"),ПП_Оборудование!$I$3:$I$118,0),TRUE)</f>
        <v>#N/A</v>
      </c>
      <c r="V5" s="36" t="str">
        <f t="shared" ca="1" si="10"/>
        <v>-</v>
      </c>
      <c r="W5" s="416" t="e">
        <f t="shared" si="11"/>
        <v>#REF!</v>
      </c>
    </row>
    <row r="6" spans="1:23">
      <c r="A6" s="414" t="s">
        <v>458</v>
      </c>
      <c r="B6" s="36" t="s">
        <v>473</v>
      </c>
      <c r="C6" s="36" t="s">
        <v>473</v>
      </c>
      <c r="D6" s="36"/>
      <c r="E6" s="36" t="e">
        <f t="shared" si="1"/>
        <v>#N/A</v>
      </c>
      <c r="F6" s="36" t="e">
        <f t="shared" si="2"/>
        <v>#N/A</v>
      </c>
      <c r="G6" s="36" t="b">
        <f>IF(AND(Задача_ТипКод=A6,Задача_Рекуператор),MATCH(CONCATENATE($C6,"=ИСТИНА"),ПП_Оборудование!I$370:I$378,0),TRUE)</f>
        <v>1</v>
      </c>
      <c r="H6" s="36" t="e">
        <f>IF(AND(Задача_ТипКод=A6,Задача_Нагреватель),MATCH(CONCATENATE($B6,"=ИСТИНА"),ПП_Оборудование!$I$287:$I$366,0),TRUE)</f>
        <v>#N/A</v>
      </c>
      <c r="I6" s="415"/>
      <c r="J6" s="36" t="e">
        <f t="shared" si="3"/>
        <v>#N/A</v>
      </c>
      <c r="K6" s="415" t="b">
        <f t="shared" si="12"/>
        <v>0</v>
      </c>
      <c r="L6" s="415"/>
      <c r="M6" s="35" t="e">
        <f t="shared" ca="1" si="4"/>
        <v>#N/A</v>
      </c>
      <c r="N6" s="35" t="e">
        <f t="shared" ca="1" si="5"/>
        <v>#N/A</v>
      </c>
      <c r="O6" s="35" t="str">
        <f t="shared" ca="1" si="6"/>
        <v/>
      </c>
      <c r="P6" s="35" t="e">
        <f t="shared" ca="1" si="7"/>
        <v>#N/A</v>
      </c>
      <c r="Q6" s="36"/>
      <c r="R6" s="35" t="e">
        <f t="shared" ca="1" si="8"/>
        <v>#N/A</v>
      </c>
      <c r="S6" s="35" t="e">
        <f t="shared" ca="1" si="13"/>
        <v>#N/A</v>
      </c>
      <c r="T6" s="35" t="e">
        <f t="shared" ca="1" si="9"/>
        <v>#N/A</v>
      </c>
      <c r="U6" s="36" t="e">
        <f>IF(Задача_Вентилятор,MATCH(CONCATENATE($C6,"=ИСТИНА"),ПП_Оборудование!$I$3:$I$118,0),TRUE)</f>
        <v>#N/A</v>
      </c>
      <c r="V6" s="36" t="str">
        <f t="shared" ca="1" si="10"/>
        <v>-</v>
      </c>
      <c r="W6" s="416" t="e">
        <f t="shared" si="11"/>
        <v>#REF!</v>
      </c>
    </row>
    <row r="7" spans="1:23">
      <c r="A7" s="414" t="s">
        <v>458</v>
      </c>
      <c r="B7" s="36" t="s">
        <v>474</v>
      </c>
      <c r="C7" s="36" t="s">
        <v>474</v>
      </c>
      <c r="D7" s="36"/>
      <c r="E7" s="36" t="e">
        <f t="shared" si="1"/>
        <v>#N/A</v>
      </c>
      <c r="F7" s="36" t="e">
        <f t="shared" si="2"/>
        <v>#N/A</v>
      </c>
      <c r="G7" s="36" t="b">
        <f>IF(AND(Задача_ТипКод=A7,Задача_Рекуператор),MATCH(CONCATENATE($C7,"=ИСТИНА"),ПП_Оборудование!I$370:I$378,0),TRUE)</f>
        <v>1</v>
      </c>
      <c r="H7" s="36" t="e">
        <f>IF(AND(Задача_ТипКод=A7,Задача_Нагреватель),MATCH(CONCATENATE($B7,"=ИСТИНА"),ПП_Оборудование!$I$287:$I$366,0),TRUE)</f>
        <v>#N/A</v>
      </c>
      <c r="I7" s="415"/>
      <c r="J7" s="36" t="e">
        <f t="shared" si="3"/>
        <v>#N/A</v>
      </c>
      <c r="K7" s="415" t="b">
        <f t="shared" si="12"/>
        <v>0</v>
      </c>
      <c r="L7" s="415"/>
      <c r="M7" s="35" t="e">
        <f t="shared" ca="1" si="4"/>
        <v>#N/A</v>
      </c>
      <c r="N7" s="35" t="e">
        <f t="shared" ca="1" si="5"/>
        <v>#N/A</v>
      </c>
      <c r="O7" s="35" t="str">
        <f t="shared" ca="1" si="6"/>
        <v/>
      </c>
      <c r="P7" s="35" t="e">
        <f t="shared" ca="1" si="7"/>
        <v>#N/A</v>
      </c>
      <c r="Q7" s="36"/>
      <c r="R7" s="35" t="e">
        <f t="shared" ca="1" si="8"/>
        <v>#N/A</v>
      </c>
      <c r="S7" s="35" t="e">
        <f t="shared" ca="1" si="13"/>
        <v>#N/A</v>
      </c>
      <c r="T7" s="35" t="e">
        <f t="shared" ca="1" si="9"/>
        <v>#N/A</v>
      </c>
      <c r="U7" s="36" t="e">
        <f>IF(Задача_Вентилятор,MATCH(CONCATENATE($C7,"=ИСТИНА"),ПП_Оборудование!$I$3:$I$118,0),TRUE)</f>
        <v>#N/A</v>
      </c>
      <c r="V7" s="36" t="str">
        <f t="shared" ca="1" si="10"/>
        <v>-</v>
      </c>
      <c r="W7" s="416" t="e">
        <f t="shared" si="11"/>
        <v>#REF!</v>
      </c>
    </row>
    <row r="8" spans="1:23">
      <c r="A8" s="414" t="s">
        <v>458</v>
      </c>
      <c r="B8" s="36" t="s">
        <v>475</v>
      </c>
      <c r="C8" s="36" t="s">
        <v>475</v>
      </c>
      <c r="D8" s="36"/>
      <c r="E8" s="36" t="e">
        <f t="shared" si="1"/>
        <v>#N/A</v>
      </c>
      <c r="F8" s="36" t="e">
        <f t="shared" si="2"/>
        <v>#N/A</v>
      </c>
      <c r="G8" s="36" t="b">
        <f>IF(AND(Задача_ТипКод=A8,Задача_Рекуператор),MATCH(CONCATENATE($C8,"=ИСТИНА"),ПП_Оборудование!I$370:I$378,0),TRUE)</f>
        <v>1</v>
      </c>
      <c r="H8" s="36" t="e">
        <f>IF(AND(Задача_ТипКод=A8,Задача_Нагреватель),MATCH(CONCATENATE($B8,"=ИСТИНА"),ПП_Оборудование!$I$287:$I$366,0),TRUE)</f>
        <v>#N/A</v>
      </c>
      <c r="I8" s="415"/>
      <c r="J8" s="36" t="e">
        <f t="shared" si="3"/>
        <v>#N/A</v>
      </c>
      <c r="K8" s="415" t="b">
        <f t="shared" si="12"/>
        <v>0</v>
      </c>
      <c r="L8" s="415"/>
      <c r="M8" s="35" t="e">
        <f t="shared" ca="1" si="4"/>
        <v>#N/A</v>
      </c>
      <c r="N8" s="35" t="e">
        <f t="shared" ca="1" si="5"/>
        <v>#N/A</v>
      </c>
      <c r="O8" s="35" t="str">
        <f t="shared" ca="1" si="6"/>
        <v/>
      </c>
      <c r="P8" s="35" t="e">
        <f t="shared" ca="1" si="7"/>
        <v>#N/A</v>
      </c>
      <c r="Q8" s="36"/>
      <c r="R8" s="35" t="e">
        <f t="shared" ca="1" si="8"/>
        <v>#N/A</v>
      </c>
      <c r="S8" s="35" t="e">
        <f t="shared" ca="1" si="13"/>
        <v>#N/A</v>
      </c>
      <c r="T8" s="35" t="e">
        <f t="shared" ca="1" si="9"/>
        <v>#N/A</v>
      </c>
      <c r="U8" s="36" t="e">
        <f>IF(Задача_Вентилятор,MATCH(CONCATENATE($C8,"=ИСТИНА"),ПП_Оборудование!$I$3:$I$118,0),TRUE)</f>
        <v>#N/A</v>
      </c>
      <c r="V8" s="36" t="str">
        <f t="shared" ca="1" si="10"/>
        <v>-</v>
      </c>
      <c r="W8" s="416" t="e">
        <f t="shared" si="11"/>
        <v>#REF!</v>
      </c>
    </row>
    <row r="9" spans="1:23">
      <c r="A9" s="414" t="s">
        <v>458</v>
      </c>
      <c r="B9" s="36" t="s">
        <v>476</v>
      </c>
      <c r="C9" s="36" t="s">
        <v>476</v>
      </c>
      <c r="D9" s="36"/>
      <c r="E9" s="36" t="e">
        <f t="shared" si="1"/>
        <v>#N/A</v>
      </c>
      <c r="F9" s="36" t="e">
        <f t="shared" si="2"/>
        <v>#N/A</v>
      </c>
      <c r="G9" s="36" t="b">
        <f>IF(AND(Задача_ТипКод=A9,Задача_Рекуператор),MATCH(CONCATENATE($C9,"=ИСТИНА"),ПП_Оборудование!I$370:I$378,0),TRUE)</f>
        <v>1</v>
      </c>
      <c r="H9" s="36" t="e">
        <f>IF(AND(Задача_ТипКод=A9,Задача_Нагреватель),MATCH(CONCATENATE($B9,"=ИСТИНА"),ПП_Оборудование!$I$287:$I$366,0),TRUE)</f>
        <v>#N/A</v>
      </c>
      <c r="I9" s="415"/>
      <c r="J9" s="36" t="e">
        <f t="shared" si="3"/>
        <v>#N/A</v>
      </c>
      <c r="K9" s="415" t="b">
        <f t="shared" si="12"/>
        <v>0</v>
      </c>
      <c r="L9" s="415"/>
      <c r="M9" s="35" t="e">
        <f t="shared" ca="1" si="4"/>
        <v>#N/A</v>
      </c>
      <c r="N9" s="35" t="e">
        <f t="shared" ca="1" si="5"/>
        <v>#N/A</v>
      </c>
      <c r="O9" s="35" t="str">
        <f t="shared" ca="1" si="6"/>
        <v/>
      </c>
      <c r="P9" s="35" t="e">
        <f t="shared" ca="1" si="7"/>
        <v>#N/A</v>
      </c>
      <c r="Q9" s="36"/>
      <c r="R9" s="35" t="e">
        <f t="shared" ca="1" si="8"/>
        <v>#N/A</v>
      </c>
      <c r="S9" s="35" t="e">
        <f t="shared" ca="1" si="13"/>
        <v>#N/A</v>
      </c>
      <c r="T9" s="35" t="e">
        <f t="shared" ca="1" si="9"/>
        <v>#N/A</v>
      </c>
      <c r="U9" s="36" t="e">
        <f>IF(Задача_Вентилятор,MATCH(CONCATENATE($C9,"=ИСТИНА"),ПП_Оборудование!$I$3:$I$118,0),TRUE)</f>
        <v>#N/A</v>
      </c>
      <c r="V9" s="36" t="str">
        <f t="shared" ca="1" si="10"/>
        <v>-</v>
      </c>
      <c r="W9" s="416" t="e">
        <f t="shared" si="11"/>
        <v>#REF!</v>
      </c>
    </row>
    <row r="10" spans="1:23">
      <c r="A10" s="414" t="s">
        <v>458</v>
      </c>
      <c r="B10" s="36" t="s">
        <v>477</v>
      </c>
      <c r="C10" s="36" t="s">
        <v>477</v>
      </c>
      <c r="D10" s="36"/>
      <c r="E10" s="36" t="e">
        <f t="shared" si="1"/>
        <v>#N/A</v>
      </c>
      <c r="F10" s="36" t="e">
        <f t="shared" si="2"/>
        <v>#N/A</v>
      </c>
      <c r="G10" s="36" t="b">
        <f>IF(AND(Задача_ТипКод=A10,Задача_Рекуператор),MATCH(CONCATENATE($C10,"=ИСТИНА"),ПП_Оборудование!I$370:I$378,0),TRUE)</f>
        <v>1</v>
      </c>
      <c r="H10" s="36" t="e">
        <f>IF(AND(Задача_ТипКод=A10,Задача_Нагреватель),MATCH(CONCATENATE($B10,"=ИСТИНА"),ПП_Оборудование!$I$287:$I$366,0),TRUE)</f>
        <v>#N/A</v>
      </c>
      <c r="I10" s="415"/>
      <c r="J10" s="36" t="e">
        <f t="shared" si="3"/>
        <v>#N/A</v>
      </c>
      <c r="K10" s="415" t="b">
        <f>IFERROR(AND(E10:J10),FALSE)</f>
        <v>0</v>
      </c>
      <c r="L10" s="415"/>
      <c r="M10" s="35" t="e">
        <f t="shared" ca="1" si="4"/>
        <v>#N/A</v>
      </c>
      <c r="N10" s="35" t="e">
        <f t="shared" ca="1" si="5"/>
        <v>#N/A</v>
      </c>
      <c r="O10" s="35" t="str">
        <f t="shared" ca="1" si="6"/>
        <v/>
      </c>
      <c r="P10" s="35" t="e">
        <f t="shared" ca="1" si="7"/>
        <v>#N/A</v>
      </c>
      <c r="Q10" s="36"/>
      <c r="R10" s="35" t="e">
        <f t="shared" ca="1" si="8"/>
        <v>#N/A</v>
      </c>
      <c r="S10" s="35" t="e">
        <f t="shared" ca="1" si="13"/>
        <v>#N/A</v>
      </c>
      <c r="T10" s="35" t="e">
        <f t="shared" ca="1" si="9"/>
        <v>#N/A</v>
      </c>
      <c r="U10" s="36" t="e">
        <f>IF(Задача_Вентилятор,MATCH(CONCATENATE($C10,"=ИСТИНА"),ПП_Оборудование!$I$3:$I$118,0),TRUE)</f>
        <v>#N/A</v>
      </c>
      <c r="V10" s="36" t="str">
        <f t="shared" ca="1" si="10"/>
        <v>-</v>
      </c>
      <c r="W10" s="416" t="e">
        <f t="shared" si="11"/>
        <v>#REF!</v>
      </c>
    </row>
    <row r="11" spans="1:23">
      <c r="A11" s="414" t="s">
        <v>458</v>
      </c>
      <c r="B11" s="36" t="s">
        <v>478</v>
      </c>
      <c r="C11" s="36" t="s">
        <v>478</v>
      </c>
      <c r="D11" s="36"/>
      <c r="E11" s="36" t="e">
        <f t="shared" si="1"/>
        <v>#N/A</v>
      </c>
      <c r="F11" s="36" t="e">
        <f t="shared" si="2"/>
        <v>#N/A</v>
      </c>
      <c r="G11" s="36" t="b">
        <f>IF(AND(Задача_ТипКод=A11,Задача_Рекуператор),MATCH(CONCATENATE($C11,"=ИСТИНА"),ПП_Оборудование!I$370:I$378,0),TRUE)</f>
        <v>1</v>
      </c>
      <c r="H11" s="36" t="e">
        <f>IF(AND(Задача_ТипКод=A11,Задача_Нагреватель),MATCH(CONCATENATE($B11,"=ИСТИНА"),ПП_Оборудование!$I$287:$I$366,0),TRUE)</f>
        <v>#N/A</v>
      </c>
      <c r="I11" s="415"/>
      <c r="J11" s="36" t="e">
        <f t="shared" si="3"/>
        <v>#N/A</v>
      </c>
      <c r="K11" s="415" t="b">
        <f>IFERROR(AND(E11:J11),FALSE)</f>
        <v>0</v>
      </c>
      <c r="L11" s="415"/>
      <c r="M11" s="35" t="e">
        <f t="shared" ca="1" si="4"/>
        <v>#N/A</v>
      </c>
      <c r="N11" s="35" t="e">
        <f t="shared" ca="1" si="5"/>
        <v>#N/A</v>
      </c>
      <c r="O11" s="35" t="str">
        <f t="shared" ca="1" si="6"/>
        <v/>
      </c>
      <c r="P11" s="35" t="e">
        <f t="shared" ca="1" si="7"/>
        <v>#N/A</v>
      </c>
      <c r="Q11" s="36"/>
      <c r="R11" s="35" t="e">
        <f t="shared" ca="1" si="8"/>
        <v>#N/A</v>
      </c>
      <c r="S11" s="35" t="e">
        <f t="shared" ca="1" si="13"/>
        <v>#N/A</v>
      </c>
      <c r="T11" s="35" t="e">
        <f t="shared" ca="1" si="9"/>
        <v>#N/A</v>
      </c>
      <c r="U11" s="36" t="e">
        <f>IF(Задача_Вентилятор,MATCH(CONCATENATE($C11,"=ИСТИНА"),ПП_Оборудование!$I$3:$I$118,0),TRUE)</f>
        <v>#N/A</v>
      </c>
      <c r="V11" s="36" t="str">
        <f t="shared" ca="1" si="10"/>
        <v>-</v>
      </c>
      <c r="W11" s="416" t="e">
        <f t="shared" si="11"/>
        <v>#REF!</v>
      </c>
    </row>
    <row r="12" spans="1:23">
      <c r="A12" s="414" t="s">
        <v>458</v>
      </c>
      <c r="B12" s="36" t="s">
        <v>479</v>
      </c>
      <c r="C12" s="36" t="s">
        <v>479</v>
      </c>
      <c r="D12" s="36"/>
      <c r="E12" s="36" t="e">
        <f t="shared" si="1"/>
        <v>#N/A</v>
      </c>
      <c r="F12" s="36" t="e">
        <f t="shared" si="2"/>
        <v>#N/A</v>
      </c>
      <c r="G12" s="36" t="b">
        <f>IF(AND(Задача_ТипКод=A12,Задача_Рекуператор),MATCH(CONCATENATE($C12,"=ИСТИНА"),ПП_Оборудование!I$370:I$378,0),TRUE)</f>
        <v>1</v>
      </c>
      <c r="H12" s="36" t="e">
        <f>IF(AND(Задача_ТипКод=A12,Задача_Нагреватель),MATCH(CONCATENATE($B12,"=ИСТИНА"),ПП_Оборудование!$I$287:$I$366,0),TRUE)</f>
        <v>#N/A</v>
      </c>
      <c r="I12" s="415"/>
      <c r="J12" s="36" t="e">
        <f t="shared" si="3"/>
        <v>#N/A</v>
      </c>
      <c r="K12" s="415" t="b">
        <f>IFERROR(AND(E12:J12),FALSE)</f>
        <v>0</v>
      </c>
      <c r="L12" s="415"/>
      <c r="M12" s="35" t="e">
        <f t="shared" ca="1" si="4"/>
        <v>#N/A</v>
      </c>
      <c r="N12" s="35" t="e">
        <f t="shared" ca="1" si="5"/>
        <v>#N/A</v>
      </c>
      <c r="O12" s="35" t="str">
        <f t="shared" ca="1" si="6"/>
        <v/>
      </c>
      <c r="P12" s="35" t="e">
        <f t="shared" ca="1" si="7"/>
        <v>#N/A</v>
      </c>
      <c r="Q12" s="36"/>
      <c r="R12" s="35" t="e">
        <f t="shared" ca="1" si="8"/>
        <v>#N/A</v>
      </c>
      <c r="S12" s="35" t="e">
        <f t="shared" ca="1" si="13"/>
        <v>#N/A</v>
      </c>
      <c r="T12" s="35" t="e">
        <f t="shared" ca="1" si="9"/>
        <v>#N/A</v>
      </c>
      <c r="U12" s="36" t="e">
        <f>IF(Задача_Вентилятор,MATCH(CONCATENATE($C12,"=ИСТИНА"),ПП_Оборудование!$I$3:$I$118,0),TRUE)</f>
        <v>#N/A</v>
      </c>
      <c r="V12" s="36" t="str">
        <f t="shared" ca="1" si="10"/>
        <v>-</v>
      </c>
      <c r="W12" s="416" t="e">
        <f t="shared" si="11"/>
        <v>#REF!</v>
      </c>
    </row>
    <row r="13" spans="1:23">
      <c r="A13" s="414" t="s">
        <v>458</v>
      </c>
      <c r="B13" s="36" t="s">
        <v>480</v>
      </c>
      <c r="C13" s="36" t="s">
        <v>480</v>
      </c>
      <c r="D13" s="36"/>
      <c r="E13" s="36" t="e">
        <f t="shared" si="1"/>
        <v>#N/A</v>
      </c>
      <c r="F13" s="36" t="e">
        <f t="shared" si="2"/>
        <v>#N/A</v>
      </c>
      <c r="G13" s="36" t="b">
        <f>IF(AND(Задача_ТипКод=A13,Задача_Рекуператор),MATCH(CONCATENATE($C13,"=ИСТИНА"),ПП_Оборудование!I$370:I$378,0),TRUE)</f>
        <v>1</v>
      </c>
      <c r="H13" s="36" t="e">
        <f>IF(AND(Задача_ТипКод=A13,Задача_Нагреватель),MATCH(CONCATENATE($B13,"=ИСТИНА"),ПП_Оборудование!$I$287:$I$366,0),TRUE)</f>
        <v>#N/A</v>
      </c>
      <c r="I13" s="415"/>
      <c r="J13" s="36" t="e">
        <f t="shared" si="3"/>
        <v>#N/A</v>
      </c>
      <c r="K13" s="415" t="b">
        <f>IFERROR(AND(E13:J13),FALSE)</f>
        <v>0</v>
      </c>
      <c r="L13" s="415"/>
      <c r="M13" s="35" t="e">
        <f t="shared" ca="1" si="4"/>
        <v>#N/A</v>
      </c>
      <c r="N13" s="35" t="e">
        <f t="shared" ca="1" si="5"/>
        <v>#N/A</v>
      </c>
      <c r="O13" s="35" t="str">
        <f t="shared" ca="1" si="6"/>
        <v/>
      </c>
      <c r="P13" s="35" t="e">
        <f t="shared" ca="1" si="7"/>
        <v>#N/A</v>
      </c>
      <c r="Q13" s="36"/>
      <c r="R13" s="35" t="e">
        <f t="shared" ca="1" si="8"/>
        <v>#N/A</v>
      </c>
      <c r="S13" s="35" t="e">
        <f t="shared" ca="1" si="13"/>
        <v>#N/A</v>
      </c>
      <c r="T13" s="35" t="e">
        <f t="shared" ca="1" si="9"/>
        <v>#N/A</v>
      </c>
      <c r="U13" s="36" t="e">
        <f>IF(Задача_Вентилятор,MATCH(CONCATENATE($C13,"=ИСТИНА"),ПП_Оборудование!$I$3:$I$118,0),TRUE)</f>
        <v>#N/A</v>
      </c>
      <c r="V13" s="36" t="str">
        <f t="shared" ca="1" si="10"/>
        <v>-</v>
      </c>
      <c r="W13" s="416" t="e">
        <f t="shared" si="11"/>
        <v>#REF!</v>
      </c>
    </row>
    <row r="14" spans="1:23">
      <c r="A14" s="414" t="s">
        <v>458</v>
      </c>
      <c r="B14" s="36" t="s">
        <v>482</v>
      </c>
      <c r="C14" s="36" t="s">
        <v>482</v>
      </c>
      <c r="D14" s="36"/>
      <c r="E14" s="36" t="e">
        <f t="shared" si="1"/>
        <v>#N/A</v>
      </c>
      <c r="F14" s="36" t="e">
        <f t="shared" si="2"/>
        <v>#N/A</v>
      </c>
      <c r="G14" s="36" t="b">
        <f>IF(AND(Задача_ТипКод=A14,Задача_Рекуператор),MATCH(CONCATENATE($C14,"=ИСТИНА"),ПП_Оборудование!I$370:I$378,0),TRUE)</f>
        <v>1</v>
      </c>
      <c r="H14" s="36" t="e">
        <f>IF(AND(Задача_ТипКод=A14,Задача_Нагреватель),MATCH(CONCATENATE($B14,"=ИСТИНА"),ПП_Оборудование!$I$287:$I$366,0),TRUE)</f>
        <v>#N/A</v>
      </c>
      <c r="I14" s="415"/>
      <c r="J14" s="36" t="e">
        <f t="shared" si="3"/>
        <v>#N/A</v>
      </c>
      <c r="K14" s="415" t="b">
        <f>IFERROR(AND(E14:J14),FALSE)</f>
        <v>0</v>
      </c>
      <c r="L14" s="415"/>
      <c r="M14" s="35" t="e">
        <f t="shared" ca="1" si="4"/>
        <v>#N/A</v>
      </c>
      <c r="N14" s="35" t="e">
        <f t="shared" ca="1" si="5"/>
        <v>#N/A</v>
      </c>
      <c r="O14" s="35" t="str">
        <f t="shared" ca="1" si="6"/>
        <v/>
      </c>
      <c r="P14" s="35" t="e">
        <f t="shared" ca="1" si="7"/>
        <v>#N/A</v>
      </c>
      <c r="Q14" s="36"/>
      <c r="R14" s="35" t="e">
        <f t="shared" ca="1" si="8"/>
        <v>#N/A</v>
      </c>
      <c r="S14" s="35" t="e">
        <f t="shared" ca="1" si="13"/>
        <v>#N/A</v>
      </c>
      <c r="T14" s="35" t="e">
        <f t="shared" ca="1" si="9"/>
        <v>#N/A</v>
      </c>
      <c r="U14" s="36" t="e">
        <f>IF(Задача_Вентилятор,MATCH(CONCATENATE($C14,"=ИСТИНА"),ПП_Оборудование!$I$3:$I$118,0),TRUE)</f>
        <v>#N/A</v>
      </c>
      <c r="V14" s="36" t="str">
        <f t="shared" ca="1" si="10"/>
        <v>-</v>
      </c>
      <c r="W14" s="416" t="e">
        <f t="shared" si="11"/>
        <v>#REF!</v>
      </c>
    </row>
    <row r="15" spans="1:23">
      <c r="A15" s="409" t="s">
        <v>459</v>
      </c>
      <c r="B15" s="410" t="s">
        <v>139</v>
      </c>
      <c r="C15" s="410" t="s">
        <v>139</v>
      </c>
      <c r="D15" s="410"/>
      <c r="E15" s="410" t="b">
        <f t="shared" ref="E15:E59" si="14">IF(AND(Задача_ТипКод=$A15,Задача_Заслонка),MATCH(CONCATENATE($C15,"=ИСТИНА"),Оборудование_ЗаслонкиПроверка,0),TRUE)</f>
        <v>1</v>
      </c>
      <c r="F15" s="410" t="b">
        <f t="shared" ref="F15:F37" si="15">IF(AND(Задача_ТипКод=$A15,Задача_Фильтр),MATCH(CONCATENATE($C15,"=ИСТИНА"),Оборудование_ФильтрыПроверка,0),TRUE)</f>
        <v>1</v>
      </c>
      <c r="G15" s="410" t="b">
        <f>IF(AND(Задача_ТипКод=A15,Задача_Рекуператор),MATCH(CONCATENATE($C15,"=ИСТИНА"),ПП_Оборудование!I$370:I$378,0),TRUE)</f>
        <v>1</v>
      </c>
      <c r="H15" s="410" t="b">
        <f>IF(AND(Задача_ТипКод=A15,Задача_Нагреватель),MATCH(CONCATENATE($B15,"=ИСТИНА"),ПП_Оборудование!$I$287:$I$366,0),TRUE)</f>
        <v>1</v>
      </c>
      <c r="I15" s="411"/>
      <c r="J15" s="410" t="b">
        <f t="shared" ref="J15:J59" si="16">IF(AND(Задача_ТипКод=$A15,Задача_Шумоглушитель),MATCH(CONCATENATE($C15,"=ИСТИНА"),Оборудование_ШумоглушителиПроверка,0),TRUE)</f>
        <v>1</v>
      </c>
      <c r="K15" s="411" t="b">
        <f t="shared" si="12"/>
        <v>1</v>
      </c>
      <c r="L15" s="411"/>
      <c r="M15" s="412" t="e">
        <f t="shared" ref="M15:M23" ca="1" si="17">IF(Задача_Заслонка,OFFSET(Оборудование_Заслонки,E15+1,7),"")</f>
        <v>#REF!</v>
      </c>
      <c r="N15" s="412" t="e">
        <f t="shared" ref="N15:N23" ca="1" si="18">IF(Задача_Фильтр,OFFSET(Оборудование_Фильтры,F15+1,7),"")</f>
        <v>#REF!</v>
      </c>
      <c r="O15" s="412" t="str">
        <f t="shared" ref="O15:O23" ca="1" si="19">IF(Задача_Рекуператор,OFFSET(Оборудование_Рекуператоры,G15+1,7),"")</f>
        <v/>
      </c>
      <c r="P15" s="412" t="e">
        <f t="shared" ref="P15:P23" ca="1" si="20">IF(Задача_Нагреватель,OFFSET(Оборудование_Нагреватели,H15+1,7),"")</f>
        <v>#REF!</v>
      </c>
      <c r="Q15" s="410"/>
      <c r="R15" s="412" t="e">
        <f t="shared" ref="R15:R23" ca="1" si="21">IF(Задача_Шумоглушитель,OFFSET(Оборудование_Шумоглушители,J15+1,7),"")</f>
        <v>#REF!</v>
      </c>
      <c r="S15" s="412" t="e">
        <f t="shared" ref="S15:S23" ca="1" si="22">SUM(M15:R15)</f>
        <v>#REF!</v>
      </c>
      <c r="T15" s="412" t="e">
        <f t="shared" ca="1" si="9"/>
        <v>#REF!</v>
      </c>
      <c r="U15" s="410" t="e">
        <f>IF(Задача_Вентилятор,MATCH(CONCATENATE($C15,"=ИСТИНА"),ПП_Оборудование!$I$3:$I$118,0),TRUE)</f>
        <v>#N/A</v>
      </c>
      <c r="V15" s="410" t="str">
        <f t="shared" ca="1" si="10"/>
        <v>-</v>
      </c>
      <c r="W15" s="413" t="e">
        <f t="shared" ref="W15:W23" si="23">AND(Задача_ТипКод=A15,OR(Задача_Размер=Значение_Авто,Задача_Размер=B15),K15,U15)</f>
        <v>#REF!</v>
      </c>
    </row>
    <row r="16" spans="1:23">
      <c r="A16" s="414" t="s">
        <v>459</v>
      </c>
      <c r="B16" s="36" t="s">
        <v>140</v>
      </c>
      <c r="C16" s="36" t="s">
        <v>140</v>
      </c>
      <c r="D16" s="36"/>
      <c r="E16" s="36" t="b">
        <f t="shared" si="14"/>
        <v>1</v>
      </c>
      <c r="F16" s="36" t="b">
        <f t="shared" si="15"/>
        <v>1</v>
      </c>
      <c r="G16" s="36" t="b">
        <f>IF(AND(Задача_ТипКод=A16,Задача_Рекуператор),MATCH(CONCATENATE($C16,"=ИСТИНА"),ПП_Оборудование!I$370:I$378,0),TRUE)</f>
        <v>1</v>
      </c>
      <c r="H16" s="36" t="b">
        <f>IF(AND(Задача_ТипКод=A16,Задача_Нагреватель),MATCH(CONCATENATE($B16,"=ИСТИНА"),ПП_Оборудование!$I$287:$I$366,0),TRUE)</f>
        <v>1</v>
      </c>
      <c r="I16" s="415"/>
      <c r="J16" s="36" t="b">
        <f t="shared" si="16"/>
        <v>1</v>
      </c>
      <c r="K16" s="415" t="b">
        <f t="shared" si="12"/>
        <v>1</v>
      </c>
      <c r="L16" s="415"/>
      <c r="M16" s="35" t="e">
        <f t="shared" ca="1" si="17"/>
        <v>#REF!</v>
      </c>
      <c r="N16" s="35" t="e">
        <f t="shared" ca="1" si="18"/>
        <v>#REF!</v>
      </c>
      <c r="O16" s="35" t="str">
        <f t="shared" ca="1" si="19"/>
        <v/>
      </c>
      <c r="P16" s="35" t="e">
        <f t="shared" ca="1" si="20"/>
        <v>#REF!</v>
      </c>
      <c r="Q16" s="36"/>
      <c r="R16" s="35" t="e">
        <f t="shared" ca="1" si="21"/>
        <v>#REF!</v>
      </c>
      <c r="S16" s="35" t="e">
        <f t="shared" ca="1" si="22"/>
        <v>#REF!</v>
      </c>
      <c r="T16" s="35" t="e">
        <f t="shared" ca="1" si="9"/>
        <v>#REF!</v>
      </c>
      <c r="U16" s="36" t="e">
        <f>IF(Задача_Вентилятор,MATCH(CONCATENATE($C16,"=ИСТИНА"),ПП_Оборудование!$I$3:$I$118,0),TRUE)</f>
        <v>#N/A</v>
      </c>
      <c r="V16" s="36" t="str">
        <f t="shared" ca="1" si="10"/>
        <v>-</v>
      </c>
      <c r="W16" s="416" t="e">
        <f t="shared" si="23"/>
        <v>#REF!</v>
      </c>
    </row>
    <row r="17" spans="1:23">
      <c r="A17" s="414" t="s">
        <v>459</v>
      </c>
      <c r="B17" s="36" t="s">
        <v>141</v>
      </c>
      <c r="C17" s="36" t="s">
        <v>141</v>
      </c>
      <c r="D17" s="36"/>
      <c r="E17" s="36" t="b">
        <f t="shared" si="14"/>
        <v>1</v>
      </c>
      <c r="F17" s="36" t="b">
        <f t="shared" si="15"/>
        <v>1</v>
      </c>
      <c r="G17" s="36" t="b">
        <f>IF(AND(Задача_ТипКод=A17,Задача_Рекуператор),MATCH(CONCATENATE($C17,"=ИСТИНА"),ПП_Оборудование!I$370:I$378,0),TRUE)</f>
        <v>1</v>
      </c>
      <c r="H17" s="36" t="b">
        <f>IF(AND(Задача_ТипКод=A17,Задача_Нагреватель),MATCH(CONCATENATE($B17,"=ИСТИНА"),ПП_Оборудование!$I$287:$I$366,0),TRUE)</f>
        <v>1</v>
      </c>
      <c r="I17" s="415"/>
      <c r="J17" s="36" t="b">
        <f t="shared" si="16"/>
        <v>1</v>
      </c>
      <c r="K17" s="415" t="b">
        <f t="shared" si="12"/>
        <v>1</v>
      </c>
      <c r="L17" s="415"/>
      <c r="M17" s="35" t="e">
        <f t="shared" ca="1" si="17"/>
        <v>#REF!</v>
      </c>
      <c r="N17" s="35" t="e">
        <f t="shared" ca="1" si="18"/>
        <v>#REF!</v>
      </c>
      <c r="O17" s="35" t="str">
        <f t="shared" ca="1" si="19"/>
        <v/>
      </c>
      <c r="P17" s="35" t="e">
        <f t="shared" ca="1" si="20"/>
        <v>#REF!</v>
      </c>
      <c r="Q17" s="36"/>
      <c r="R17" s="35" t="e">
        <f t="shared" ca="1" si="21"/>
        <v>#REF!</v>
      </c>
      <c r="S17" s="35" t="e">
        <f t="shared" ca="1" si="22"/>
        <v>#REF!</v>
      </c>
      <c r="T17" s="35" t="e">
        <f t="shared" ca="1" si="9"/>
        <v>#REF!</v>
      </c>
      <c r="U17" s="36" t="e">
        <f>IF(Задача_Вентилятор,MATCH(CONCATENATE($C17,"=ИСТИНА"),ПП_Оборудование!$I$3:$I$118,0),TRUE)</f>
        <v>#N/A</v>
      </c>
      <c r="V17" s="36" t="str">
        <f t="shared" ca="1" si="10"/>
        <v>-</v>
      </c>
      <c r="W17" s="416" t="e">
        <f t="shared" si="23"/>
        <v>#REF!</v>
      </c>
    </row>
    <row r="18" spans="1:23">
      <c r="A18" s="414" t="s">
        <v>459</v>
      </c>
      <c r="B18" s="36" t="s">
        <v>142</v>
      </c>
      <c r="C18" s="36" t="s">
        <v>142</v>
      </c>
      <c r="D18" s="36"/>
      <c r="E18" s="36" t="b">
        <f t="shared" si="14"/>
        <v>1</v>
      </c>
      <c r="F18" s="36" t="b">
        <f t="shared" si="15"/>
        <v>1</v>
      </c>
      <c r="G18" s="36" t="b">
        <f>IF(AND(Задача_ТипКод=A18,Задача_Рекуператор),MATCH(CONCATENATE($C18,"=ИСТИНА"),ПП_Оборудование!I$370:I$378,0),TRUE)</f>
        <v>1</v>
      </c>
      <c r="H18" s="36" t="b">
        <f>IF(AND(Задача_ТипКод=A18,Задача_Нагреватель),MATCH(CONCATENATE($B18,"=ИСТИНА"),ПП_Оборудование!$I$287:$I$366,0),TRUE)</f>
        <v>1</v>
      </c>
      <c r="I18" s="415"/>
      <c r="J18" s="36" t="b">
        <f t="shared" si="16"/>
        <v>1</v>
      </c>
      <c r="K18" s="415" t="b">
        <f t="shared" si="12"/>
        <v>1</v>
      </c>
      <c r="L18" s="415"/>
      <c r="M18" s="35" t="e">
        <f t="shared" ca="1" si="17"/>
        <v>#REF!</v>
      </c>
      <c r="N18" s="35" t="e">
        <f t="shared" ca="1" si="18"/>
        <v>#REF!</v>
      </c>
      <c r="O18" s="35" t="str">
        <f t="shared" ca="1" si="19"/>
        <v/>
      </c>
      <c r="P18" s="35" t="e">
        <f t="shared" ca="1" si="20"/>
        <v>#REF!</v>
      </c>
      <c r="Q18" s="36"/>
      <c r="R18" s="35" t="e">
        <f t="shared" ca="1" si="21"/>
        <v>#REF!</v>
      </c>
      <c r="S18" s="35" t="e">
        <f t="shared" ca="1" si="22"/>
        <v>#REF!</v>
      </c>
      <c r="T18" s="35" t="e">
        <f t="shared" ca="1" si="9"/>
        <v>#REF!</v>
      </c>
      <c r="U18" s="36" t="e">
        <f>IF(Задача_Вентилятор,MATCH(CONCATENATE($C18,"=ИСТИНА"),ПП_Оборудование!$I$3:$I$118,0),TRUE)</f>
        <v>#N/A</v>
      </c>
      <c r="V18" s="36" t="str">
        <f t="shared" ca="1" si="10"/>
        <v>-</v>
      </c>
      <c r="W18" s="416" t="e">
        <f t="shared" si="23"/>
        <v>#REF!</v>
      </c>
    </row>
    <row r="19" spans="1:23">
      <c r="A19" s="414" t="s">
        <v>459</v>
      </c>
      <c r="B19" s="36" t="s">
        <v>143</v>
      </c>
      <c r="C19" s="36" t="s">
        <v>143</v>
      </c>
      <c r="D19" s="36"/>
      <c r="E19" s="36" t="b">
        <f t="shared" si="14"/>
        <v>1</v>
      </c>
      <c r="F19" s="36" t="b">
        <f t="shared" si="15"/>
        <v>1</v>
      </c>
      <c r="G19" s="36" t="b">
        <f>IF(AND(Задача_ТипКод=A19,Задача_Рекуператор),MATCH(CONCATENATE($C19,"=ИСТИНА"),ПП_Оборудование!I$370:I$378,0),TRUE)</f>
        <v>1</v>
      </c>
      <c r="H19" s="36" t="b">
        <f>IF(AND(Задача_ТипКод=A19,Задача_Нагреватель),MATCH(CONCATENATE($B19,"=ИСТИНА"),ПП_Оборудование!$I$287:$I$366,0),TRUE)</f>
        <v>1</v>
      </c>
      <c r="I19" s="415"/>
      <c r="J19" s="36" t="b">
        <f t="shared" si="16"/>
        <v>1</v>
      </c>
      <c r="K19" s="415" t="b">
        <f t="shared" si="12"/>
        <v>1</v>
      </c>
      <c r="L19" s="415"/>
      <c r="M19" s="35" t="e">
        <f t="shared" ca="1" si="17"/>
        <v>#REF!</v>
      </c>
      <c r="N19" s="35" t="e">
        <f t="shared" ca="1" si="18"/>
        <v>#REF!</v>
      </c>
      <c r="O19" s="35" t="str">
        <f t="shared" ca="1" si="19"/>
        <v/>
      </c>
      <c r="P19" s="35" t="e">
        <f t="shared" ca="1" si="20"/>
        <v>#REF!</v>
      </c>
      <c r="Q19" s="36"/>
      <c r="R19" s="35" t="e">
        <f t="shared" ca="1" si="21"/>
        <v>#REF!</v>
      </c>
      <c r="S19" s="35" t="e">
        <f t="shared" ca="1" si="22"/>
        <v>#REF!</v>
      </c>
      <c r="T19" s="35" t="e">
        <f t="shared" ca="1" si="9"/>
        <v>#REF!</v>
      </c>
      <c r="U19" s="36" t="e">
        <f>IF(Задача_Вентилятор,MATCH(CONCATENATE($C19,"=ИСТИНА"),ПП_Оборудование!$I$3:$I$118,0),TRUE)</f>
        <v>#N/A</v>
      </c>
      <c r="V19" s="36" t="str">
        <f t="shared" ca="1" si="10"/>
        <v>-</v>
      </c>
      <c r="W19" s="416" t="e">
        <f t="shared" si="23"/>
        <v>#REF!</v>
      </c>
    </row>
    <row r="20" spans="1:23">
      <c r="A20" s="414" t="s">
        <v>459</v>
      </c>
      <c r="B20" s="36" t="s">
        <v>144</v>
      </c>
      <c r="C20" s="36" t="s">
        <v>144</v>
      </c>
      <c r="D20" s="36"/>
      <c r="E20" s="36" t="b">
        <f t="shared" si="14"/>
        <v>1</v>
      </c>
      <c r="F20" s="36" t="b">
        <f t="shared" si="15"/>
        <v>1</v>
      </c>
      <c r="G20" s="36" t="b">
        <f>IF(AND(Задача_ТипКод=A20,Задача_Рекуператор),MATCH(CONCATENATE($C20,"=ИСТИНА"),ПП_Оборудование!I$370:I$378,0),TRUE)</f>
        <v>1</v>
      </c>
      <c r="H20" s="36" t="b">
        <f>IF(AND(Задача_ТипКод=A20,Задача_Нагреватель),MATCH(CONCATENATE($B20,"=ИСТИНА"),ПП_Оборудование!$I$287:$I$366,0),TRUE)</f>
        <v>1</v>
      </c>
      <c r="I20" s="415"/>
      <c r="J20" s="36" t="b">
        <f t="shared" si="16"/>
        <v>1</v>
      </c>
      <c r="K20" s="415" t="b">
        <f t="shared" si="12"/>
        <v>1</v>
      </c>
      <c r="L20" s="415"/>
      <c r="M20" s="35" t="e">
        <f t="shared" ca="1" si="17"/>
        <v>#REF!</v>
      </c>
      <c r="N20" s="35" t="e">
        <f t="shared" ca="1" si="18"/>
        <v>#REF!</v>
      </c>
      <c r="O20" s="35" t="str">
        <f t="shared" ca="1" si="19"/>
        <v/>
      </c>
      <c r="P20" s="35" t="e">
        <f t="shared" ca="1" si="20"/>
        <v>#REF!</v>
      </c>
      <c r="Q20" s="36"/>
      <c r="R20" s="35" t="e">
        <f t="shared" ca="1" si="21"/>
        <v>#REF!</v>
      </c>
      <c r="S20" s="35" t="e">
        <f t="shared" ca="1" si="22"/>
        <v>#REF!</v>
      </c>
      <c r="T20" s="35" t="e">
        <f t="shared" ca="1" si="9"/>
        <v>#REF!</v>
      </c>
      <c r="U20" s="36" t="e">
        <f>IF(Задача_Вентилятор,MATCH(CONCATENATE($C20,"=ИСТИНА"),ПП_Оборудование!$I$3:$I$118,0),TRUE)</f>
        <v>#N/A</v>
      </c>
      <c r="V20" s="36" t="str">
        <f t="shared" ca="1" si="10"/>
        <v>-</v>
      </c>
      <c r="W20" s="416" t="e">
        <f t="shared" si="23"/>
        <v>#REF!</v>
      </c>
    </row>
    <row r="21" spans="1:23">
      <c r="A21" s="414" t="s">
        <v>459</v>
      </c>
      <c r="B21" s="36" t="s">
        <v>145</v>
      </c>
      <c r="C21" s="36" t="s">
        <v>145</v>
      </c>
      <c r="D21" s="36"/>
      <c r="E21" s="36" t="b">
        <f t="shared" si="14"/>
        <v>1</v>
      </c>
      <c r="F21" s="36" t="b">
        <f t="shared" si="15"/>
        <v>1</v>
      </c>
      <c r="G21" s="36" t="b">
        <f>IF(AND(Задача_ТипКод=A21,Задача_Рекуператор),MATCH(CONCATENATE($C21,"=ИСТИНА"),ПП_Оборудование!I$370:I$378,0),TRUE)</f>
        <v>1</v>
      </c>
      <c r="H21" s="36" t="b">
        <f>IF(AND(Задача_ТипКод=A21,Задача_Нагреватель),MATCH(CONCATENATE($B21,"=ИСТИНА"),ПП_Оборудование!$I$287:$I$366,0),TRUE)</f>
        <v>1</v>
      </c>
      <c r="I21" s="415"/>
      <c r="J21" s="36" t="b">
        <f t="shared" si="16"/>
        <v>1</v>
      </c>
      <c r="K21" s="415" t="b">
        <f t="shared" si="12"/>
        <v>1</v>
      </c>
      <c r="L21" s="415"/>
      <c r="M21" s="35" t="e">
        <f t="shared" ca="1" si="17"/>
        <v>#REF!</v>
      </c>
      <c r="N21" s="35" t="e">
        <f t="shared" ca="1" si="18"/>
        <v>#REF!</v>
      </c>
      <c r="O21" s="35" t="str">
        <f t="shared" ca="1" si="19"/>
        <v/>
      </c>
      <c r="P21" s="35" t="e">
        <f t="shared" ca="1" si="20"/>
        <v>#REF!</v>
      </c>
      <c r="Q21" s="36"/>
      <c r="R21" s="35" t="e">
        <f t="shared" ca="1" si="21"/>
        <v>#REF!</v>
      </c>
      <c r="S21" s="35" t="e">
        <f t="shared" ca="1" si="22"/>
        <v>#REF!</v>
      </c>
      <c r="T21" s="35" t="e">
        <f t="shared" ca="1" si="9"/>
        <v>#REF!</v>
      </c>
      <c r="U21" s="36" t="e">
        <f>IF(Задача_Вентилятор,MATCH(CONCATENATE($C21,"=ИСТИНА"),ПП_Оборудование!$I$3:$I$118,0),TRUE)</f>
        <v>#N/A</v>
      </c>
      <c r="V21" s="36" t="str">
        <f t="shared" ca="1" si="10"/>
        <v>-</v>
      </c>
      <c r="W21" s="416" t="e">
        <f t="shared" si="23"/>
        <v>#REF!</v>
      </c>
    </row>
    <row r="22" spans="1:23">
      <c r="A22" s="414" t="s">
        <v>459</v>
      </c>
      <c r="B22" s="36" t="s">
        <v>146</v>
      </c>
      <c r="C22" s="36" t="s">
        <v>146</v>
      </c>
      <c r="D22" s="36"/>
      <c r="E22" s="36" t="b">
        <f t="shared" si="14"/>
        <v>1</v>
      </c>
      <c r="F22" s="36" t="b">
        <f t="shared" si="15"/>
        <v>1</v>
      </c>
      <c r="G22" s="36" t="b">
        <f>IF(AND(Задача_ТипКод=A22,Задача_Рекуператор),MATCH(CONCATENATE($C22,"=ИСТИНА"),ПП_Оборудование!I$370:I$378,0),TRUE)</f>
        <v>1</v>
      </c>
      <c r="H22" s="36" t="b">
        <f>IF(AND(Задача_ТипКод=A22,Задача_Нагреватель),MATCH(CONCATENATE($B22,"=ИСТИНА"),ПП_Оборудование!$I$287:$I$366,0),TRUE)</f>
        <v>1</v>
      </c>
      <c r="I22" s="415"/>
      <c r="J22" s="36" t="b">
        <f t="shared" si="16"/>
        <v>1</v>
      </c>
      <c r="K22" s="415" t="b">
        <f t="shared" si="12"/>
        <v>1</v>
      </c>
      <c r="L22" s="415"/>
      <c r="M22" s="35" t="e">
        <f t="shared" ca="1" si="17"/>
        <v>#REF!</v>
      </c>
      <c r="N22" s="35" t="e">
        <f t="shared" ca="1" si="18"/>
        <v>#REF!</v>
      </c>
      <c r="O22" s="35" t="str">
        <f t="shared" ca="1" si="19"/>
        <v/>
      </c>
      <c r="P22" s="35" t="e">
        <f t="shared" ca="1" si="20"/>
        <v>#REF!</v>
      </c>
      <c r="Q22" s="36"/>
      <c r="R22" s="35" t="e">
        <f t="shared" ca="1" si="21"/>
        <v>#REF!</v>
      </c>
      <c r="S22" s="35" t="e">
        <f t="shared" ca="1" si="22"/>
        <v>#REF!</v>
      </c>
      <c r="T22" s="35" t="e">
        <f t="shared" ca="1" si="9"/>
        <v>#REF!</v>
      </c>
      <c r="U22" s="36" t="e">
        <f>IF(Задача_Вентилятор,MATCH(CONCATENATE($C22,"=ИСТИНА"),ПП_Оборудование!$I$3:$I$118,0),TRUE)</f>
        <v>#N/A</v>
      </c>
      <c r="V22" s="36" t="str">
        <f t="shared" ca="1" si="10"/>
        <v>-</v>
      </c>
      <c r="W22" s="416" t="e">
        <f t="shared" si="23"/>
        <v>#REF!</v>
      </c>
    </row>
    <row r="23" spans="1:23">
      <c r="A23" s="414" t="s">
        <v>459</v>
      </c>
      <c r="B23" s="36" t="s">
        <v>147</v>
      </c>
      <c r="C23" s="36" t="s">
        <v>147</v>
      </c>
      <c r="D23" s="36"/>
      <c r="E23" s="36" t="b">
        <f t="shared" si="14"/>
        <v>1</v>
      </c>
      <c r="F23" s="36" t="b">
        <f t="shared" si="15"/>
        <v>1</v>
      </c>
      <c r="G23" s="36" t="b">
        <f>IF(AND(Задача_ТипКод=A23,Задача_Рекуператор),MATCH(CONCATENATE($C23,"=ИСТИНА"),ПП_Оборудование!I$370:I$378,0),TRUE)</f>
        <v>1</v>
      </c>
      <c r="H23" s="36" t="b">
        <f>IF(AND(Задача_ТипКод=A23,Задача_Нагреватель),MATCH(CONCATENATE($B23,"=ИСТИНА"),ПП_Оборудование!$I$287:$I$366,0),TRUE)</f>
        <v>1</v>
      </c>
      <c r="I23" s="415"/>
      <c r="J23" s="36" t="b">
        <f t="shared" si="16"/>
        <v>1</v>
      </c>
      <c r="K23" s="415" t="b">
        <f t="shared" si="12"/>
        <v>1</v>
      </c>
      <c r="L23" s="415"/>
      <c r="M23" s="35" t="e">
        <f t="shared" ca="1" si="17"/>
        <v>#REF!</v>
      </c>
      <c r="N23" s="35" t="e">
        <f t="shared" ca="1" si="18"/>
        <v>#REF!</v>
      </c>
      <c r="O23" s="35" t="str">
        <f t="shared" ca="1" si="19"/>
        <v/>
      </c>
      <c r="P23" s="35" t="e">
        <f t="shared" ca="1" si="20"/>
        <v>#REF!</v>
      </c>
      <c r="Q23" s="36"/>
      <c r="R23" s="35" t="e">
        <f t="shared" ca="1" si="21"/>
        <v>#REF!</v>
      </c>
      <c r="S23" s="35" t="e">
        <f t="shared" ca="1" si="22"/>
        <v>#REF!</v>
      </c>
      <c r="T23" s="35" t="e">
        <f t="shared" ca="1" si="9"/>
        <v>#REF!</v>
      </c>
      <c r="U23" s="36" t="e">
        <f>IF(Задача_Вентилятор,MATCH(CONCATENATE($C23,"=ИСТИНА"),ПП_Оборудование!$I$3:$I$118,0),TRUE)</f>
        <v>#N/A</v>
      </c>
      <c r="V23" s="36" t="str">
        <f t="shared" ca="1" si="10"/>
        <v>-</v>
      </c>
      <c r="W23" s="416" t="e">
        <f t="shared" si="23"/>
        <v>#REF!</v>
      </c>
    </row>
    <row r="24" spans="1:23">
      <c r="A24" s="409" t="s">
        <v>610</v>
      </c>
      <c r="B24" s="135" t="s">
        <v>619</v>
      </c>
      <c r="C24" s="410" t="s">
        <v>474</v>
      </c>
      <c r="D24" s="410"/>
      <c r="E24" s="410" t="b">
        <f t="shared" si="14"/>
        <v>1</v>
      </c>
      <c r="F24" s="410" t="b">
        <f t="shared" si="15"/>
        <v>1</v>
      </c>
      <c r="G24" s="410" t="b">
        <f>IF(AND(Задача_ТипКод=A24,Задача_Рекуператор),MATCH(CONCATENATE($C24,"=ИСТИНА"),ПП_Оборудование!I$370:I$378,0),TRUE)</f>
        <v>1</v>
      </c>
      <c r="H24" s="410" t="b">
        <f>IF(AND(Задача_ТипКод=A24,Задача_Нагреватель),MATCH(CONCATENATE($B24,"=ИСТИНА"),ПП_Оборудование!$I$287:$I$366,0),TRUE)</f>
        <v>1</v>
      </c>
      <c r="I24" s="411"/>
      <c r="J24" s="410" t="b">
        <f t="shared" si="16"/>
        <v>1</v>
      </c>
      <c r="K24" s="411" t="b">
        <f t="shared" ref="K24:K59" si="24">IFERROR(AND(E24:J24),FALSE)</f>
        <v>1</v>
      </c>
      <c r="L24" s="411"/>
      <c r="M24" s="412" t="e">
        <f t="shared" ref="M24:M59" ca="1" si="25">IF(Задача_Заслонка,OFFSET(Оборудование_Заслонки,E24+1,7),"")</f>
        <v>#REF!</v>
      </c>
      <c r="N24" s="412" t="e">
        <f t="shared" ref="N24:N59" ca="1" si="26">IF(Задача_Фильтр,OFFSET(Оборудование_Фильтры,F24+1,7),"")</f>
        <v>#REF!</v>
      </c>
      <c r="O24" s="412" t="str">
        <f t="shared" ref="O24:O59" ca="1" si="27">IF(Задача_Рекуператор,OFFSET(Оборудование_Рекуператоры,G24+1,7),"")</f>
        <v/>
      </c>
      <c r="P24" s="412" t="e">
        <f t="shared" ref="P24:P59" ca="1" si="28">IF(Задача_Нагреватель,OFFSET(Оборудование_Нагреватели,H24+1,7),"")</f>
        <v>#REF!</v>
      </c>
      <c r="Q24" s="410"/>
      <c r="R24" s="412" t="e">
        <f t="shared" ref="R24:R59" ca="1" si="29">IF(Задача_Шумоглушитель,OFFSET(Оборудование_Шумоглушители,J24+1,7),"")</f>
        <v>#REF!</v>
      </c>
      <c r="S24" s="412" t="e">
        <f t="shared" ref="S24:S59" ca="1" si="30">SUM(M24:R24)</f>
        <v>#REF!</v>
      </c>
      <c r="T24" s="412" t="e">
        <f t="shared" ref="T24:T59" ca="1" si="31">S24+Задача_Напор</f>
        <v>#REF!</v>
      </c>
      <c r="U24" s="410" t="e">
        <f>IF(Задача_Вентилятор,MATCH(CONCATENATE($C24,"=ИСТИНА"),ПП_Оборудование!$I$3:$I$118,0),TRUE)</f>
        <v>#N/A</v>
      </c>
      <c r="V24" s="410" t="str">
        <f t="shared" ref="V24:V59" ca="1" si="32">IFERROR(IF(W24,OFFSET(Оборудование_Вентиляторы,U24+1,4),"-"),"-")</f>
        <v>-</v>
      </c>
      <c r="W24" s="413" t="e">
        <f t="shared" ref="W24:W59" si="33">AND(Задача_ТипКод=A24,OR(Задача_Размер=Значение_Авто,Задача_Размер=B24),K24,U24)</f>
        <v>#REF!</v>
      </c>
    </row>
    <row r="25" spans="1:23">
      <c r="A25" s="414" t="s">
        <v>610</v>
      </c>
      <c r="B25" s="200" t="s">
        <v>620</v>
      </c>
      <c r="C25" s="36" t="s">
        <v>475</v>
      </c>
      <c r="D25" s="36"/>
      <c r="E25" s="36" t="b">
        <f t="shared" si="14"/>
        <v>1</v>
      </c>
      <c r="F25" s="36" t="b">
        <f t="shared" si="15"/>
        <v>1</v>
      </c>
      <c r="G25" s="36" t="b">
        <f>IF(AND(Задача_ТипКод=A25,Задача_Рекуператор),MATCH(CONCATENATE($C25,"=ИСТИНА"),ПП_Оборудование!I$370:I$378,0),TRUE)</f>
        <v>1</v>
      </c>
      <c r="H25" s="36" t="b">
        <f>IF(AND(Задача_ТипКод=A25,Задача_Нагреватель),MATCH(CONCATENATE($B25,"=ИСТИНА"),ПП_Оборудование!$I$287:$I$366,0),TRUE)</f>
        <v>1</v>
      </c>
      <c r="I25" s="415"/>
      <c r="J25" s="36" t="b">
        <f t="shared" si="16"/>
        <v>1</v>
      </c>
      <c r="K25" s="415" t="b">
        <f t="shared" si="24"/>
        <v>1</v>
      </c>
      <c r="L25" s="415"/>
      <c r="M25" s="35" t="e">
        <f t="shared" ca="1" si="25"/>
        <v>#REF!</v>
      </c>
      <c r="N25" s="35" t="e">
        <f t="shared" ca="1" si="26"/>
        <v>#REF!</v>
      </c>
      <c r="O25" s="35" t="str">
        <f t="shared" ca="1" si="27"/>
        <v/>
      </c>
      <c r="P25" s="35" t="e">
        <f t="shared" ca="1" si="28"/>
        <v>#REF!</v>
      </c>
      <c r="Q25" s="36"/>
      <c r="R25" s="35" t="e">
        <f t="shared" ca="1" si="29"/>
        <v>#REF!</v>
      </c>
      <c r="S25" s="35" t="e">
        <f t="shared" ca="1" si="30"/>
        <v>#REF!</v>
      </c>
      <c r="T25" s="35" t="e">
        <f t="shared" ca="1" si="31"/>
        <v>#REF!</v>
      </c>
      <c r="U25" s="36" t="e">
        <f>IF(Задача_Вентилятор,MATCH(CONCATENATE($C25,"=ИСТИНА"),ПП_Оборудование!$I$3:$I$118,0),TRUE)</f>
        <v>#N/A</v>
      </c>
      <c r="V25" s="36" t="str">
        <f t="shared" ca="1" si="32"/>
        <v>-</v>
      </c>
      <c r="W25" s="416" t="e">
        <f t="shared" si="33"/>
        <v>#REF!</v>
      </c>
    </row>
    <row r="26" spans="1:23">
      <c r="A26" s="414" t="s">
        <v>610</v>
      </c>
      <c r="B26" s="200" t="s">
        <v>621</v>
      </c>
      <c r="C26" s="36" t="s">
        <v>476</v>
      </c>
      <c r="D26" s="36"/>
      <c r="E26" s="36" t="b">
        <f t="shared" si="14"/>
        <v>1</v>
      </c>
      <c r="F26" s="36" t="b">
        <f t="shared" si="15"/>
        <v>1</v>
      </c>
      <c r="G26" s="36" t="b">
        <f>IF(AND(Задача_ТипКод=A26,Задача_Рекуператор),MATCH(CONCATENATE($C26,"=ИСТИНА"),ПП_Оборудование!I$370:I$378,0),TRUE)</f>
        <v>1</v>
      </c>
      <c r="H26" s="36" t="b">
        <f>IF(AND(Задача_ТипКод=A26,Задача_Нагреватель),MATCH(CONCATENATE($B26,"=ИСТИНА"),ПП_Оборудование!$I$287:$I$366,0),TRUE)</f>
        <v>1</v>
      </c>
      <c r="I26" s="415"/>
      <c r="J26" s="36" t="b">
        <f t="shared" si="16"/>
        <v>1</v>
      </c>
      <c r="K26" s="415" t="b">
        <f t="shared" si="24"/>
        <v>1</v>
      </c>
      <c r="L26" s="415"/>
      <c r="M26" s="35" t="e">
        <f t="shared" ca="1" si="25"/>
        <v>#REF!</v>
      </c>
      <c r="N26" s="35" t="e">
        <f t="shared" ca="1" si="26"/>
        <v>#REF!</v>
      </c>
      <c r="O26" s="35" t="str">
        <f t="shared" ca="1" si="27"/>
        <v/>
      </c>
      <c r="P26" s="35" t="e">
        <f t="shared" ca="1" si="28"/>
        <v>#REF!</v>
      </c>
      <c r="Q26" s="36"/>
      <c r="R26" s="35" t="e">
        <f t="shared" ca="1" si="29"/>
        <v>#REF!</v>
      </c>
      <c r="S26" s="35" t="e">
        <f t="shared" ca="1" si="30"/>
        <v>#REF!</v>
      </c>
      <c r="T26" s="35" t="e">
        <f t="shared" ca="1" si="31"/>
        <v>#REF!</v>
      </c>
      <c r="U26" s="36" t="e">
        <f>IF(Задача_Вентилятор,MATCH(CONCATENATE($C26,"=ИСТИНА"),ПП_Оборудование!$I$3:$I$118,0),TRUE)</f>
        <v>#N/A</v>
      </c>
      <c r="V26" s="36" t="str">
        <f t="shared" ca="1" si="32"/>
        <v>-</v>
      </c>
      <c r="W26" s="416" t="e">
        <f t="shared" si="33"/>
        <v>#REF!</v>
      </c>
    </row>
    <row r="27" spans="1:23">
      <c r="A27" s="414" t="s">
        <v>610</v>
      </c>
      <c r="B27" s="200" t="s">
        <v>622</v>
      </c>
      <c r="C27" s="36" t="s">
        <v>478</v>
      </c>
      <c r="D27" s="36"/>
      <c r="E27" s="36" t="b">
        <f t="shared" si="14"/>
        <v>1</v>
      </c>
      <c r="F27" s="36" t="b">
        <f t="shared" si="15"/>
        <v>1</v>
      </c>
      <c r="G27" s="36" t="b">
        <f>IF(AND(Задача_ТипКод=A27,Задача_Рекуператор),MATCH(CONCATENATE($C27,"=ИСТИНА"),ПП_Оборудование!I$370:I$378,0),TRUE)</f>
        <v>1</v>
      </c>
      <c r="H27" s="36" t="b">
        <f>IF(AND(Задача_ТипКод=A27,Задача_Нагреватель),MATCH(CONCATENATE($B27,"=ИСТИНА"),ПП_Оборудование!$I$287:$I$366,0),TRUE)</f>
        <v>1</v>
      </c>
      <c r="I27" s="415"/>
      <c r="J27" s="36" t="b">
        <f t="shared" si="16"/>
        <v>1</v>
      </c>
      <c r="K27" s="415" t="b">
        <f t="shared" si="24"/>
        <v>1</v>
      </c>
      <c r="L27" s="415"/>
      <c r="M27" s="35" t="e">
        <f t="shared" ca="1" si="25"/>
        <v>#REF!</v>
      </c>
      <c r="N27" s="35" t="e">
        <f t="shared" ca="1" si="26"/>
        <v>#REF!</v>
      </c>
      <c r="O27" s="35" t="str">
        <f t="shared" ca="1" si="27"/>
        <v/>
      </c>
      <c r="P27" s="35" t="e">
        <f t="shared" ca="1" si="28"/>
        <v>#REF!</v>
      </c>
      <c r="Q27" s="36"/>
      <c r="R27" s="35" t="e">
        <f t="shared" ca="1" si="29"/>
        <v>#REF!</v>
      </c>
      <c r="S27" s="35" t="e">
        <f t="shared" ca="1" si="30"/>
        <v>#REF!</v>
      </c>
      <c r="T27" s="35" t="e">
        <f t="shared" ca="1" si="31"/>
        <v>#REF!</v>
      </c>
      <c r="U27" s="36" t="e">
        <f>IF(Задача_Вентилятор,MATCH(CONCATENATE($C27,"=ИСТИНА"),ПП_Оборудование!$I$3:$I$118,0),TRUE)</f>
        <v>#N/A</v>
      </c>
      <c r="V27" s="36" t="str">
        <f t="shared" ca="1" si="32"/>
        <v>-</v>
      </c>
      <c r="W27" s="416" t="e">
        <f t="shared" si="33"/>
        <v>#REF!</v>
      </c>
    </row>
    <row r="28" spans="1:23">
      <c r="A28" s="414" t="s">
        <v>610</v>
      </c>
      <c r="B28" s="200" t="s">
        <v>624</v>
      </c>
      <c r="C28" s="36" t="s">
        <v>625</v>
      </c>
      <c r="D28" s="36"/>
      <c r="E28" s="36" t="b">
        <f t="shared" si="14"/>
        <v>1</v>
      </c>
      <c r="F28" s="36" t="b">
        <f t="shared" si="15"/>
        <v>1</v>
      </c>
      <c r="G28" s="36" t="b">
        <f>IF(AND(Задача_ТипКод=A28,Задача_Рекуператор),MATCH(CONCATENATE($C28,"=ИСТИНА"),ПП_Оборудование!I$370:I$378,0),TRUE)</f>
        <v>1</v>
      </c>
      <c r="H28" s="36" t="b">
        <f>IF(AND(Задача_ТипКод=A28,Задача_Нагреватель),MATCH(CONCATENATE($B28,"=ИСТИНА"),ПП_Оборудование!$I$287:$I$366,0),TRUE)</f>
        <v>1</v>
      </c>
      <c r="I28" s="415"/>
      <c r="J28" s="36" t="b">
        <f t="shared" si="16"/>
        <v>1</v>
      </c>
      <c r="K28" s="415" t="b">
        <f t="shared" si="24"/>
        <v>1</v>
      </c>
      <c r="L28" s="415"/>
      <c r="M28" s="35" t="e">
        <f t="shared" ca="1" si="25"/>
        <v>#REF!</v>
      </c>
      <c r="N28" s="35" t="e">
        <f t="shared" ca="1" si="26"/>
        <v>#REF!</v>
      </c>
      <c r="O28" s="35" t="str">
        <f t="shared" ca="1" si="27"/>
        <v/>
      </c>
      <c r="P28" s="35" t="e">
        <f t="shared" ca="1" si="28"/>
        <v>#REF!</v>
      </c>
      <c r="Q28" s="36"/>
      <c r="R28" s="35" t="e">
        <f t="shared" ca="1" si="29"/>
        <v>#REF!</v>
      </c>
      <c r="S28" s="35" t="e">
        <f t="shared" ca="1" si="30"/>
        <v>#REF!</v>
      </c>
      <c r="T28" s="35" t="e">
        <f t="shared" ca="1" si="31"/>
        <v>#REF!</v>
      </c>
      <c r="U28" s="36" t="e">
        <f>IF(Задача_Вентилятор,MATCH(CONCATENATE($C28,"=ИСТИНА"),ПП_Оборудование!$I$3:$I$118,0),TRUE)</f>
        <v>#N/A</v>
      </c>
      <c r="V28" s="36" t="str">
        <f t="shared" ca="1" si="32"/>
        <v>-</v>
      </c>
      <c r="W28" s="416" t="e">
        <f t="shared" si="33"/>
        <v>#REF!</v>
      </c>
    </row>
    <row r="29" spans="1:23">
      <c r="A29" s="414" t="s">
        <v>610</v>
      </c>
      <c r="B29" s="200" t="s">
        <v>626</v>
      </c>
      <c r="C29" s="36" t="s">
        <v>627</v>
      </c>
      <c r="D29" s="36"/>
      <c r="E29" s="36" t="b">
        <f t="shared" si="14"/>
        <v>1</v>
      </c>
      <c r="F29" s="36" t="b">
        <f t="shared" si="15"/>
        <v>1</v>
      </c>
      <c r="G29" s="36" t="b">
        <f>IF(AND(Задача_ТипКод=A29,Задача_Рекуператор),MATCH(CONCATENATE($C29,"=ИСТИНА"),ПП_Оборудование!I$370:I$378,0),TRUE)</f>
        <v>1</v>
      </c>
      <c r="H29" s="36" t="b">
        <f>IF(AND(Задача_ТипКод=A29,Задача_Нагреватель),MATCH(CONCATENATE($B29,"=ИСТИНА"),ПП_Оборудование!$I$287:$I$366,0),TRUE)</f>
        <v>1</v>
      </c>
      <c r="I29" s="415"/>
      <c r="J29" s="36" t="b">
        <f t="shared" si="16"/>
        <v>1</v>
      </c>
      <c r="K29" s="415" t="b">
        <f t="shared" si="24"/>
        <v>1</v>
      </c>
      <c r="L29" s="415"/>
      <c r="M29" s="35" t="e">
        <f t="shared" ca="1" si="25"/>
        <v>#REF!</v>
      </c>
      <c r="N29" s="35" t="e">
        <f t="shared" ca="1" si="26"/>
        <v>#REF!</v>
      </c>
      <c r="O29" s="35" t="str">
        <f t="shared" ca="1" si="27"/>
        <v/>
      </c>
      <c r="P29" s="35" t="e">
        <f t="shared" ca="1" si="28"/>
        <v>#REF!</v>
      </c>
      <c r="Q29" s="36"/>
      <c r="R29" s="35" t="e">
        <f t="shared" ca="1" si="29"/>
        <v>#REF!</v>
      </c>
      <c r="S29" s="35" t="e">
        <f t="shared" ca="1" si="30"/>
        <v>#REF!</v>
      </c>
      <c r="T29" s="35" t="e">
        <f t="shared" ca="1" si="31"/>
        <v>#REF!</v>
      </c>
      <c r="U29" s="36" t="e">
        <f>IF(Задача_Вентилятор,MATCH(CONCATENATE($C29,"=ИСТИНА"),ПП_Оборудование!$I$3:$I$118,0),TRUE)</f>
        <v>#N/A</v>
      </c>
      <c r="V29" s="36" t="str">
        <f t="shared" ca="1" si="32"/>
        <v>-</v>
      </c>
      <c r="W29" s="416" t="e">
        <f t="shared" si="33"/>
        <v>#REF!</v>
      </c>
    </row>
    <row r="30" spans="1:23">
      <c r="A30" s="414" t="s">
        <v>610</v>
      </c>
      <c r="B30" s="200" t="s">
        <v>628</v>
      </c>
      <c r="C30" s="36" t="s">
        <v>629</v>
      </c>
      <c r="D30" s="36"/>
      <c r="E30" s="36" t="b">
        <f t="shared" si="14"/>
        <v>1</v>
      </c>
      <c r="F30" s="36" t="b">
        <f t="shared" si="15"/>
        <v>1</v>
      </c>
      <c r="G30" s="36" t="b">
        <f>IF(AND(Задача_ТипКод=A30,Задача_Рекуператор),MATCH(CONCATENATE($C30,"=ИСТИНА"),ПП_Оборудование!I$370:I$378,0),TRUE)</f>
        <v>1</v>
      </c>
      <c r="H30" s="36" t="b">
        <f>IF(AND(Задача_ТипКод=A30,Задача_Нагреватель),MATCH(CONCATENATE($B30,"=ИСТИНА"),ПП_Оборудование!$I$287:$I$366,0),TRUE)</f>
        <v>1</v>
      </c>
      <c r="I30" s="415"/>
      <c r="J30" s="36" t="b">
        <f t="shared" si="16"/>
        <v>1</v>
      </c>
      <c r="K30" s="415" t="b">
        <f t="shared" si="24"/>
        <v>1</v>
      </c>
      <c r="L30" s="415"/>
      <c r="M30" s="35" t="e">
        <f t="shared" ca="1" si="25"/>
        <v>#REF!</v>
      </c>
      <c r="N30" s="35" t="e">
        <f t="shared" ca="1" si="26"/>
        <v>#REF!</v>
      </c>
      <c r="O30" s="35" t="str">
        <f t="shared" ca="1" si="27"/>
        <v/>
      </c>
      <c r="P30" s="35" t="e">
        <f t="shared" ca="1" si="28"/>
        <v>#REF!</v>
      </c>
      <c r="Q30" s="36"/>
      <c r="R30" s="35" t="e">
        <f t="shared" ca="1" si="29"/>
        <v>#REF!</v>
      </c>
      <c r="S30" s="35" t="e">
        <f t="shared" ca="1" si="30"/>
        <v>#REF!</v>
      </c>
      <c r="T30" s="35" t="e">
        <f t="shared" ca="1" si="31"/>
        <v>#REF!</v>
      </c>
      <c r="U30" s="36" t="e">
        <f>IF(Задача_Вентилятор,MATCH(CONCATENATE($C30,"=ИСТИНА"),ПП_Оборудование!$I$3:$I$118,0),TRUE)</f>
        <v>#N/A</v>
      </c>
      <c r="V30" s="36" t="str">
        <f t="shared" ca="1" si="32"/>
        <v>-</v>
      </c>
      <c r="W30" s="416" t="e">
        <f t="shared" si="33"/>
        <v>#REF!</v>
      </c>
    </row>
    <row r="31" spans="1:23">
      <c r="A31" s="414" t="s">
        <v>610</v>
      </c>
      <c r="B31" s="200" t="s">
        <v>630</v>
      </c>
      <c r="C31" s="36" t="s">
        <v>631</v>
      </c>
      <c r="D31" s="36"/>
      <c r="E31" s="36" t="b">
        <f t="shared" si="14"/>
        <v>1</v>
      </c>
      <c r="F31" s="36" t="b">
        <f t="shared" si="15"/>
        <v>1</v>
      </c>
      <c r="G31" s="36" t="b">
        <f>IF(AND(Задача_ТипКод=A31,Задача_Рекуператор),MATCH(CONCATENATE($C31,"=ИСТИНА"),ПП_Оборудование!I$370:I$378,0),TRUE)</f>
        <v>1</v>
      </c>
      <c r="H31" s="36" t="b">
        <f>IF(AND(Задача_ТипКод=A31,Задача_Нагреватель),MATCH(CONCATENATE($B31,"=ИСТИНА"),ПП_Оборудование!$I$287:$I$366,0),TRUE)</f>
        <v>1</v>
      </c>
      <c r="I31" s="415"/>
      <c r="J31" s="36" t="b">
        <f t="shared" si="16"/>
        <v>1</v>
      </c>
      <c r="K31" s="415" t="b">
        <f t="shared" si="24"/>
        <v>1</v>
      </c>
      <c r="L31" s="415"/>
      <c r="M31" s="35" t="e">
        <f t="shared" ca="1" si="25"/>
        <v>#REF!</v>
      </c>
      <c r="N31" s="35" t="e">
        <f t="shared" ca="1" si="26"/>
        <v>#REF!</v>
      </c>
      <c r="O31" s="35" t="str">
        <f t="shared" ca="1" si="27"/>
        <v/>
      </c>
      <c r="P31" s="35" t="e">
        <f t="shared" ca="1" si="28"/>
        <v>#REF!</v>
      </c>
      <c r="Q31" s="36"/>
      <c r="R31" s="35" t="e">
        <f t="shared" ca="1" si="29"/>
        <v>#REF!</v>
      </c>
      <c r="S31" s="35" t="e">
        <f t="shared" ca="1" si="30"/>
        <v>#REF!</v>
      </c>
      <c r="T31" s="35" t="e">
        <f t="shared" ca="1" si="31"/>
        <v>#REF!</v>
      </c>
      <c r="U31" s="36" t="e">
        <f>IF(Задача_Вентилятор,MATCH(CONCATENATE($C31,"=ИСТИНА"),ПП_Оборудование!$I$3:$I$118,0),TRUE)</f>
        <v>#N/A</v>
      </c>
      <c r="V31" s="36" t="str">
        <f t="shared" ca="1" si="32"/>
        <v>-</v>
      </c>
      <c r="W31" s="416" t="e">
        <f t="shared" si="33"/>
        <v>#REF!</v>
      </c>
    </row>
    <row r="32" spans="1:23">
      <c r="A32" s="414" t="s">
        <v>610</v>
      </c>
      <c r="B32" s="200" t="s">
        <v>632</v>
      </c>
      <c r="C32" s="36" t="s">
        <v>633</v>
      </c>
      <c r="D32" s="36"/>
      <c r="E32" s="36" t="b">
        <f t="shared" si="14"/>
        <v>1</v>
      </c>
      <c r="F32" s="36" t="b">
        <f t="shared" si="15"/>
        <v>1</v>
      </c>
      <c r="G32" s="36" t="b">
        <f>IF(AND(Задача_ТипКод=A32,Задача_Рекуператор),MATCH(CONCATENATE($C32,"=ИСТИНА"),ПП_Оборудование!I$370:I$378,0),TRUE)</f>
        <v>1</v>
      </c>
      <c r="H32" s="36" t="b">
        <f>IF(AND(Задача_ТипКод=A32,Задача_Нагреватель),MATCH(CONCATENATE($B32,"=ИСТИНА"),ПП_Оборудование!$I$287:$I$366,0),TRUE)</f>
        <v>1</v>
      </c>
      <c r="I32" s="415"/>
      <c r="J32" s="36" t="b">
        <f t="shared" si="16"/>
        <v>1</v>
      </c>
      <c r="K32" s="415" t="b">
        <f t="shared" si="24"/>
        <v>1</v>
      </c>
      <c r="L32" s="415"/>
      <c r="M32" s="35" t="e">
        <f t="shared" ca="1" si="25"/>
        <v>#REF!</v>
      </c>
      <c r="N32" s="35" t="e">
        <f t="shared" ca="1" si="26"/>
        <v>#REF!</v>
      </c>
      <c r="O32" s="35" t="str">
        <f t="shared" ca="1" si="27"/>
        <v/>
      </c>
      <c r="P32" s="35" t="e">
        <f t="shared" ca="1" si="28"/>
        <v>#REF!</v>
      </c>
      <c r="Q32" s="36"/>
      <c r="R32" s="35" t="e">
        <f t="shared" ca="1" si="29"/>
        <v>#REF!</v>
      </c>
      <c r="S32" s="35" t="e">
        <f t="shared" ca="1" si="30"/>
        <v>#REF!</v>
      </c>
      <c r="T32" s="35" t="e">
        <f t="shared" ca="1" si="31"/>
        <v>#REF!</v>
      </c>
      <c r="U32" s="36" t="e">
        <f>IF(Задача_Вентилятор,MATCH(CONCATENATE($C32,"=ИСТИНА"),ПП_Оборудование!$I$3:$I$118,0),TRUE)</f>
        <v>#N/A</v>
      </c>
      <c r="V32" s="36" t="str">
        <f t="shared" ca="1" si="32"/>
        <v>-</v>
      </c>
      <c r="W32" s="416" t="e">
        <f t="shared" si="33"/>
        <v>#REF!</v>
      </c>
    </row>
    <row r="33" spans="1:23">
      <c r="A33" s="414" t="s">
        <v>610</v>
      </c>
      <c r="B33" s="200" t="s">
        <v>634</v>
      </c>
      <c r="C33" s="36" t="s">
        <v>635</v>
      </c>
      <c r="D33" s="36"/>
      <c r="E33" s="36" t="b">
        <f t="shared" si="14"/>
        <v>1</v>
      </c>
      <c r="F33" s="36" t="b">
        <f t="shared" si="15"/>
        <v>1</v>
      </c>
      <c r="G33" s="36" t="b">
        <f>IF(AND(Задача_ТипКод=A33,Задача_Рекуператор),MATCH(CONCATENATE($C33,"=ИСТИНА"),ПП_Оборудование!I$370:I$378,0),TRUE)</f>
        <v>1</v>
      </c>
      <c r="H33" s="36" t="b">
        <f>IF(AND(Задача_ТипКод=A33,Задача_Нагреватель),MATCH(CONCATENATE($B33,"=ИСТИНА"),ПП_Оборудование!$I$287:$I$366,0),TRUE)</f>
        <v>1</v>
      </c>
      <c r="I33" s="415"/>
      <c r="J33" s="36" t="b">
        <f t="shared" si="16"/>
        <v>1</v>
      </c>
      <c r="K33" s="415" t="b">
        <f t="shared" si="24"/>
        <v>1</v>
      </c>
      <c r="L33" s="415"/>
      <c r="M33" s="35" t="e">
        <f t="shared" ca="1" si="25"/>
        <v>#REF!</v>
      </c>
      <c r="N33" s="35" t="e">
        <f t="shared" ca="1" si="26"/>
        <v>#REF!</v>
      </c>
      <c r="O33" s="35" t="str">
        <f t="shared" ca="1" si="27"/>
        <v/>
      </c>
      <c r="P33" s="35" t="e">
        <f t="shared" ca="1" si="28"/>
        <v>#REF!</v>
      </c>
      <c r="Q33" s="36"/>
      <c r="R33" s="35" t="e">
        <f t="shared" ca="1" si="29"/>
        <v>#REF!</v>
      </c>
      <c r="S33" s="35" t="e">
        <f t="shared" ca="1" si="30"/>
        <v>#REF!</v>
      </c>
      <c r="T33" s="35" t="e">
        <f t="shared" ca="1" si="31"/>
        <v>#REF!</v>
      </c>
      <c r="U33" s="36" t="e">
        <f>IF(Задача_Вентилятор,MATCH(CONCATENATE($C33,"=ИСТИНА"),ПП_Оборудование!$I$3:$I$118,0),TRUE)</f>
        <v>#N/A</v>
      </c>
      <c r="V33" s="36" t="str">
        <f t="shared" ca="1" si="32"/>
        <v>-</v>
      </c>
      <c r="W33" s="416" t="e">
        <f t="shared" si="33"/>
        <v>#REF!</v>
      </c>
    </row>
    <row r="34" spans="1:23">
      <c r="A34" s="414" t="s">
        <v>610</v>
      </c>
      <c r="B34" s="200" t="s">
        <v>636</v>
      </c>
      <c r="C34" s="36" t="s">
        <v>637</v>
      </c>
      <c r="D34" s="36"/>
      <c r="E34" s="36" t="b">
        <f t="shared" si="14"/>
        <v>1</v>
      </c>
      <c r="F34" s="36" t="b">
        <f t="shared" si="15"/>
        <v>1</v>
      </c>
      <c r="G34" s="36" t="b">
        <f>IF(AND(Задача_ТипКод=A34,Задача_Рекуператор),MATCH(CONCATENATE($C34,"=ИСТИНА"),ПП_Оборудование!I$370:I$378,0),TRUE)</f>
        <v>1</v>
      </c>
      <c r="H34" s="36" t="b">
        <f>IF(AND(Задача_ТипКод=A34,Задача_Нагреватель),MATCH(CONCATENATE($B34,"=ИСТИНА"),ПП_Оборудование!$I$287:$I$366,0),TRUE)</f>
        <v>1</v>
      </c>
      <c r="I34" s="415"/>
      <c r="J34" s="36" t="b">
        <f t="shared" si="16"/>
        <v>1</v>
      </c>
      <c r="K34" s="415" t="b">
        <f t="shared" si="24"/>
        <v>1</v>
      </c>
      <c r="L34" s="415"/>
      <c r="M34" s="35" t="e">
        <f t="shared" ca="1" si="25"/>
        <v>#REF!</v>
      </c>
      <c r="N34" s="35" t="e">
        <f t="shared" ca="1" si="26"/>
        <v>#REF!</v>
      </c>
      <c r="O34" s="35" t="str">
        <f t="shared" ca="1" si="27"/>
        <v/>
      </c>
      <c r="P34" s="35" t="e">
        <f t="shared" ca="1" si="28"/>
        <v>#REF!</v>
      </c>
      <c r="Q34" s="36"/>
      <c r="R34" s="35" t="e">
        <f t="shared" ca="1" si="29"/>
        <v>#REF!</v>
      </c>
      <c r="S34" s="35" t="e">
        <f t="shared" ca="1" si="30"/>
        <v>#REF!</v>
      </c>
      <c r="T34" s="35" t="e">
        <f t="shared" ca="1" si="31"/>
        <v>#REF!</v>
      </c>
      <c r="U34" s="36" t="e">
        <f>IF(Задача_Вентилятор,MATCH(CONCATENATE($C34,"=ИСТИНА"),ПП_Оборудование!$I$3:$I$118,0),TRUE)</f>
        <v>#N/A</v>
      </c>
      <c r="V34" s="36" t="str">
        <f t="shared" ca="1" si="32"/>
        <v>-</v>
      </c>
      <c r="W34" s="416" t="e">
        <f t="shared" si="33"/>
        <v>#REF!</v>
      </c>
    </row>
    <row r="35" spans="1:23">
      <c r="A35" s="414" t="s">
        <v>610</v>
      </c>
      <c r="B35" s="200" t="s">
        <v>638</v>
      </c>
      <c r="C35" s="36" t="s">
        <v>639</v>
      </c>
      <c r="D35" s="36"/>
      <c r="E35" s="36" t="b">
        <f t="shared" si="14"/>
        <v>1</v>
      </c>
      <c r="F35" s="36" t="b">
        <f t="shared" si="15"/>
        <v>1</v>
      </c>
      <c r="G35" s="36" t="b">
        <f>IF(AND(Задача_ТипКод=A35,Задача_Рекуператор),MATCH(CONCATENATE($C35,"=ИСТИНА"),ПП_Оборудование!I$370:I$378,0),TRUE)</f>
        <v>1</v>
      </c>
      <c r="H35" s="36" t="b">
        <f>IF(AND(Задача_ТипКод=A35,Задача_Нагреватель),MATCH(CONCATENATE($B35,"=ИСТИНА"),ПП_Оборудование!$I$287:$I$366,0),TRUE)</f>
        <v>1</v>
      </c>
      <c r="I35" s="415"/>
      <c r="J35" s="36" t="b">
        <f t="shared" si="16"/>
        <v>1</v>
      </c>
      <c r="K35" s="415" t="b">
        <f t="shared" si="24"/>
        <v>1</v>
      </c>
      <c r="L35" s="415"/>
      <c r="M35" s="35" t="e">
        <f t="shared" ca="1" si="25"/>
        <v>#REF!</v>
      </c>
      <c r="N35" s="35" t="e">
        <f t="shared" ca="1" si="26"/>
        <v>#REF!</v>
      </c>
      <c r="O35" s="35" t="str">
        <f t="shared" ca="1" si="27"/>
        <v/>
      </c>
      <c r="P35" s="35" t="e">
        <f t="shared" ca="1" si="28"/>
        <v>#REF!</v>
      </c>
      <c r="Q35" s="36"/>
      <c r="R35" s="35" t="e">
        <f t="shared" ca="1" si="29"/>
        <v>#REF!</v>
      </c>
      <c r="S35" s="35" t="e">
        <f t="shared" ca="1" si="30"/>
        <v>#REF!</v>
      </c>
      <c r="T35" s="35" t="e">
        <f t="shared" ca="1" si="31"/>
        <v>#REF!</v>
      </c>
      <c r="U35" s="36" t="e">
        <f>IF(Задача_Вентилятор,MATCH(CONCATENATE($C35,"=ИСТИНА"),ПП_Оборудование!$I$3:$I$118,0),TRUE)</f>
        <v>#N/A</v>
      </c>
      <c r="V35" s="36" t="str">
        <f t="shared" ca="1" si="32"/>
        <v>-</v>
      </c>
      <c r="W35" s="416" t="e">
        <f t="shared" si="33"/>
        <v>#REF!</v>
      </c>
    </row>
    <row r="36" spans="1:23">
      <c r="A36" s="414" t="s">
        <v>610</v>
      </c>
      <c r="B36" s="200" t="s">
        <v>640</v>
      </c>
      <c r="C36" s="36" t="s">
        <v>641</v>
      </c>
      <c r="D36" s="36"/>
      <c r="E36" s="36" t="b">
        <f t="shared" si="14"/>
        <v>1</v>
      </c>
      <c r="F36" s="36" t="b">
        <f t="shared" si="15"/>
        <v>1</v>
      </c>
      <c r="G36" s="36" t="b">
        <f>IF(AND(Задача_ТипКод=A36,Задача_Рекуператор),MATCH(CONCATENATE($C36,"=ИСТИНА"),ПП_Оборудование!I$370:I$378,0),TRUE)</f>
        <v>1</v>
      </c>
      <c r="H36" s="36" t="b">
        <f>IF(AND(Задача_ТипКод=A36,Задача_Нагреватель),MATCH(CONCATENATE($B36,"=ИСТИНА"),ПП_Оборудование!$I$287:$I$366,0),TRUE)</f>
        <v>1</v>
      </c>
      <c r="I36" s="415"/>
      <c r="J36" s="36" t="b">
        <f t="shared" si="16"/>
        <v>1</v>
      </c>
      <c r="K36" s="415" t="b">
        <f t="shared" si="24"/>
        <v>1</v>
      </c>
      <c r="L36" s="415"/>
      <c r="M36" s="35" t="e">
        <f t="shared" ca="1" si="25"/>
        <v>#REF!</v>
      </c>
      <c r="N36" s="35" t="e">
        <f t="shared" ca="1" si="26"/>
        <v>#REF!</v>
      </c>
      <c r="O36" s="35" t="str">
        <f t="shared" ca="1" si="27"/>
        <v/>
      </c>
      <c r="P36" s="35" t="e">
        <f t="shared" ca="1" si="28"/>
        <v>#REF!</v>
      </c>
      <c r="Q36" s="36"/>
      <c r="R36" s="35" t="e">
        <f t="shared" ca="1" si="29"/>
        <v>#REF!</v>
      </c>
      <c r="S36" s="35" t="e">
        <f t="shared" ca="1" si="30"/>
        <v>#REF!</v>
      </c>
      <c r="T36" s="35" t="e">
        <f t="shared" ca="1" si="31"/>
        <v>#REF!</v>
      </c>
      <c r="U36" s="36" t="e">
        <f>IF(Задача_Вентилятор,MATCH(CONCATENATE($C36,"=ИСТИНА"),ПП_Оборудование!$I$3:$I$118,0),TRUE)</f>
        <v>#N/A</v>
      </c>
      <c r="V36" s="36" t="str">
        <f t="shared" ca="1" si="32"/>
        <v>-</v>
      </c>
      <c r="W36" s="416" t="e">
        <f t="shared" si="33"/>
        <v>#REF!</v>
      </c>
    </row>
    <row r="37" spans="1:23">
      <c r="A37" s="524" t="s">
        <v>610</v>
      </c>
      <c r="B37" s="367" t="s">
        <v>642</v>
      </c>
      <c r="C37" s="417" t="s">
        <v>643</v>
      </c>
      <c r="D37" s="417"/>
      <c r="E37" s="417" t="b">
        <f t="shared" si="14"/>
        <v>1</v>
      </c>
      <c r="F37" s="417" t="b">
        <f t="shared" si="15"/>
        <v>1</v>
      </c>
      <c r="G37" s="417" t="b">
        <f>IF(AND(Задача_ТипКод=A37,Задача_Рекуператор),MATCH(CONCATENATE($C37,"=ИСТИНА"),ПП_Оборудование!I$370:I$378,0),TRUE)</f>
        <v>1</v>
      </c>
      <c r="H37" s="417" t="b">
        <f>IF(AND(Задача_ТипКод=A37,Задача_Нагреватель),MATCH(CONCATENATE($B37,"=ИСТИНА"),ПП_Оборудование!$I$287:$I$366,0),TRUE)</f>
        <v>1</v>
      </c>
      <c r="I37" s="13"/>
      <c r="J37" s="417" t="b">
        <f t="shared" si="16"/>
        <v>1</v>
      </c>
      <c r="K37" s="13" t="b">
        <f t="shared" si="24"/>
        <v>1</v>
      </c>
      <c r="L37" s="13"/>
      <c r="M37" s="418" t="e">
        <f t="shared" ca="1" si="25"/>
        <v>#REF!</v>
      </c>
      <c r="N37" s="418" t="e">
        <f t="shared" ca="1" si="26"/>
        <v>#REF!</v>
      </c>
      <c r="O37" s="418" t="str">
        <f t="shared" ca="1" si="27"/>
        <v/>
      </c>
      <c r="P37" s="418" t="e">
        <f t="shared" ca="1" si="28"/>
        <v>#REF!</v>
      </c>
      <c r="Q37" s="417"/>
      <c r="R37" s="418" t="e">
        <f t="shared" ca="1" si="29"/>
        <v>#REF!</v>
      </c>
      <c r="S37" s="418" t="e">
        <f t="shared" ca="1" si="30"/>
        <v>#REF!</v>
      </c>
      <c r="T37" s="418" t="e">
        <f t="shared" ca="1" si="31"/>
        <v>#REF!</v>
      </c>
      <c r="U37" s="417" t="e">
        <f>IF(Задача_Вентилятор,MATCH(CONCATENATE($C37,"=ИСТИНА"),ПП_Оборудование!$I$3:$I$118,0),TRUE)</f>
        <v>#N/A</v>
      </c>
      <c r="V37" s="417" t="str">
        <f t="shared" ca="1" si="32"/>
        <v>-</v>
      </c>
      <c r="W37" s="419" t="e">
        <f t="shared" si="33"/>
        <v>#REF!</v>
      </c>
    </row>
    <row r="38" spans="1:23">
      <c r="A38" s="409" t="s">
        <v>509</v>
      </c>
      <c r="B38" s="410" t="s">
        <v>645</v>
      </c>
      <c r="C38" s="410" t="s">
        <v>473</v>
      </c>
      <c r="D38" s="410"/>
      <c r="E38" s="410" t="b">
        <f t="shared" si="14"/>
        <v>1</v>
      </c>
      <c r="F38" s="410">
        <v>1</v>
      </c>
      <c r="G38" s="410" t="b">
        <f>IF(AND(Задача_ТипКод=A38,Задача_Рекуператор),MATCH(CONCATENATE($C38,"=ИСТИНА"),ПП_Оборудование!I$370:I$378,0),TRUE)</f>
        <v>1</v>
      </c>
      <c r="H38" s="410" t="b">
        <f>IF(AND(Задача_ТипКод=A38,Задача_Нагреватель),ROW(ПП_Оборудование!#REF!)-1-ROW(ПП_Оборудование!A$286)+MATCH(CONCATENATE($C38,"=ИСТИНА"),ПП_Оборудование!#REF!,0),TRUE)</f>
        <v>1</v>
      </c>
      <c r="I38" s="411"/>
      <c r="J38" s="410" t="b">
        <f t="shared" si="16"/>
        <v>1</v>
      </c>
      <c r="K38" s="411" t="b">
        <f t="shared" si="24"/>
        <v>1</v>
      </c>
      <c r="L38" s="411"/>
      <c r="M38" s="412" t="e">
        <f t="shared" ca="1" si="25"/>
        <v>#REF!</v>
      </c>
      <c r="N38" s="412" t="e">
        <f t="shared" ca="1" si="26"/>
        <v>#REF!</v>
      </c>
      <c r="O38" s="412" t="str">
        <f t="shared" ca="1" si="27"/>
        <v/>
      </c>
      <c r="P38" s="412" t="e">
        <f t="shared" ca="1" si="28"/>
        <v>#REF!</v>
      </c>
      <c r="Q38" s="410"/>
      <c r="R38" s="412" t="e">
        <f t="shared" ca="1" si="29"/>
        <v>#REF!</v>
      </c>
      <c r="S38" s="412" t="e">
        <f t="shared" ca="1" si="30"/>
        <v>#REF!</v>
      </c>
      <c r="T38" s="412" t="e">
        <f t="shared" ca="1" si="31"/>
        <v>#REF!</v>
      </c>
      <c r="U38" s="410" t="e">
        <f>IF(Задача_Вентилятор,MATCH(CONCATENATE($C38,"=ИСТИНА"),ПП_Оборудование!$I$3:$I$118,0),TRUE)</f>
        <v>#N/A</v>
      </c>
      <c r="V38" s="410" t="str">
        <f t="shared" ca="1" si="32"/>
        <v>-</v>
      </c>
      <c r="W38" s="413" t="e">
        <f t="shared" si="33"/>
        <v>#REF!</v>
      </c>
    </row>
    <row r="39" spans="1:23">
      <c r="A39" s="414" t="s">
        <v>509</v>
      </c>
      <c r="B39" s="36" t="s">
        <v>646</v>
      </c>
      <c r="C39" s="36" t="s">
        <v>474</v>
      </c>
      <c r="D39" s="36"/>
      <c r="E39" s="36" t="b">
        <f t="shared" si="14"/>
        <v>1</v>
      </c>
      <c r="F39" s="36">
        <v>1</v>
      </c>
      <c r="G39" s="36" t="b">
        <f>IF(AND(Задача_ТипКод=A39,Задача_Рекуператор),MATCH(CONCATENATE($C39,"=ИСТИНА"),ПП_Оборудование!I$370:I$378,0),TRUE)</f>
        <v>1</v>
      </c>
      <c r="H39" s="36" t="b">
        <f>IF(AND(Задача_ТипКод=A39,Задача_Нагреватель),ROW(ПП_Оборудование!#REF!)-1-ROW(ПП_Оборудование!A$286)+MATCH(CONCATENATE($C39,"=ИСТИНА"),ПП_Оборудование!#REF!,0),TRUE)</f>
        <v>1</v>
      </c>
      <c r="I39" s="415"/>
      <c r="J39" s="36" t="b">
        <f t="shared" si="16"/>
        <v>1</v>
      </c>
      <c r="K39" s="415" t="b">
        <f t="shared" si="24"/>
        <v>1</v>
      </c>
      <c r="L39" s="415"/>
      <c r="M39" s="35" t="e">
        <f t="shared" ca="1" si="25"/>
        <v>#REF!</v>
      </c>
      <c r="N39" s="35" t="e">
        <f t="shared" ca="1" si="26"/>
        <v>#REF!</v>
      </c>
      <c r="O39" s="35" t="str">
        <f t="shared" ca="1" si="27"/>
        <v/>
      </c>
      <c r="P39" s="35" t="e">
        <f t="shared" ca="1" si="28"/>
        <v>#REF!</v>
      </c>
      <c r="Q39" s="36"/>
      <c r="R39" s="35" t="e">
        <f t="shared" ca="1" si="29"/>
        <v>#REF!</v>
      </c>
      <c r="S39" s="35" t="e">
        <f t="shared" ca="1" si="30"/>
        <v>#REF!</v>
      </c>
      <c r="T39" s="35" t="e">
        <f t="shared" ca="1" si="31"/>
        <v>#REF!</v>
      </c>
      <c r="U39" s="36" t="e">
        <f>IF(Задача_Вентилятор,MATCH(CONCATENATE($C39,"=ИСТИНА"),ПП_Оборудование!$I$3:$I$118,0),TRUE)</f>
        <v>#N/A</v>
      </c>
      <c r="V39" s="36" t="str">
        <f t="shared" ca="1" si="32"/>
        <v>-</v>
      </c>
      <c r="W39" s="416" t="e">
        <f t="shared" si="33"/>
        <v>#REF!</v>
      </c>
    </row>
    <row r="40" spans="1:23">
      <c r="A40" s="414" t="s">
        <v>509</v>
      </c>
      <c r="B40" s="36" t="s">
        <v>647</v>
      </c>
      <c r="C40" s="36" t="s">
        <v>140</v>
      </c>
      <c r="D40" s="36"/>
      <c r="E40" s="36" t="b">
        <f t="shared" si="14"/>
        <v>1</v>
      </c>
      <c r="F40" s="36">
        <v>1</v>
      </c>
      <c r="G40" s="36" t="b">
        <f>IF(AND(Задача_ТипКод=A40,Задача_Рекуператор),MATCH(CONCATENATE($C40,"=ИСТИНА"),ПП_Оборудование!I$370:I$378,0),TRUE)</f>
        <v>1</v>
      </c>
      <c r="H40" s="36" t="b">
        <f>IF(AND(Задача_ТипКод=A40,Задача_Нагреватель),ROW(ПП_Оборудование!#REF!)-1-ROW(ПП_Оборудование!A$286)+MATCH(CONCATENATE($C40,"=ИСТИНА"),ПП_Оборудование!#REF!,0),TRUE)</f>
        <v>1</v>
      </c>
      <c r="I40" s="415"/>
      <c r="J40" s="36" t="b">
        <f t="shared" si="16"/>
        <v>1</v>
      </c>
      <c r="K40" s="415" t="b">
        <f t="shared" si="24"/>
        <v>1</v>
      </c>
      <c r="L40" s="415"/>
      <c r="M40" s="35" t="e">
        <f t="shared" ca="1" si="25"/>
        <v>#REF!</v>
      </c>
      <c r="N40" s="35" t="e">
        <f t="shared" ca="1" si="26"/>
        <v>#REF!</v>
      </c>
      <c r="O40" s="35" t="str">
        <f t="shared" ca="1" si="27"/>
        <v/>
      </c>
      <c r="P40" s="35" t="e">
        <f t="shared" ca="1" si="28"/>
        <v>#REF!</v>
      </c>
      <c r="Q40" s="36"/>
      <c r="R40" s="35" t="e">
        <f t="shared" ca="1" si="29"/>
        <v>#REF!</v>
      </c>
      <c r="S40" s="35" t="e">
        <f t="shared" ca="1" si="30"/>
        <v>#REF!</v>
      </c>
      <c r="T40" s="35" t="e">
        <f t="shared" ca="1" si="31"/>
        <v>#REF!</v>
      </c>
      <c r="U40" s="36" t="e">
        <f>IF(Задача_Вентилятор,MATCH(CONCATENATE($C40,"=ИСТИНА"),ПП_Оборудование!$I$3:$I$118,0),TRUE)</f>
        <v>#N/A</v>
      </c>
      <c r="V40" s="36" t="str">
        <f t="shared" ca="1" si="32"/>
        <v>-</v>
      </c>
      <c r="W40" s="416" t="e">
        <f t="shared" si="33"/>
        <v>#REF!</v>
      </c>
    </row>
    <row r="41" spans="1:23">
      <c r="A41" s="524" t="s">
        <v>509</v>
      </c>
      <c r="B41" s="417" t="s">
        <v>644</v>
      </c>
      <c r="C41" s="417" t="s">
        <v>140</v>
      </c>
      <c r="D41" s="417"/>
      <c r="E41" s="417" t="b">
        <f t="shared" si="14"/>
        <v>1</v>
      </c>
      <c r="F41" s="417">
        <v>1</v>
      </c>
      <c r="G41" s="417" t="b">
        <f>IF(AND(Задача_ТипКод=A41,Задача_Рекуператор),MATCH(CONCATENATE($C41,"=ИСТИНА"),ПП_Оборудование!I$370:I$378,0),TRUE)</f>
        <v>1</v>
      </c>
      <c r="H41" s="417" t="b">
        <f>IF(AND(Задача_ТипКод=A41,Задача_Нагреватель),ROW(ПП_Оборудование!#REF!)-1-ROW(ПП_Оборудование!A$286)+MATCH(CONCATENATE($C41,"=ИСТИНА"),ПП_Оборудование!#REF!,0),TRUE)</f>
        <v>1</v>
      </c>
      <c r="I41" s="13"/>
      <c r="J41" s="417" t="b">
        <f t="shared" si="16"/>
        <v>1</v>
      </c>
      <c r="K41" s="13" t="b">
        <f t="shared" si="24"/>
        <v>1</v>
      </c>
      <c r="L41" s="13"/>
      <c r="M41" s="418" t="e">
        <f t="shared" ca="1" si="25"/>
        <v>#REF!</v>
      </c>
      <c r="N41" s="418" t="e">
        <f t="shared" ca="1" si="26"/>
        <v>#REF!</v>
      </c>
      <c r="O41" s="418" t="str">
        <f t="shared" ca="1" si="27"/>
        <v/>
      </c>
      <c r="P41" s="418" t="e">
        <f t="shared" ca="1" si="28"/>
        <v>#REF!</v>
      </c>
      <c r="Q41" s="417"/>
      <c r="R41" s="418" t="e">
        <f t="shared" ca="1" si="29"/>
        <v>#REF!</v>
      </c>
      <c r="S41" s="418" t="e">
        <f t="shared" ca="1" si="30"/>
        <v>#REF!</v>
      </c>
      <c r="T41" s="418" t="e">
        <f t="shared" ca="1" si="31"/>
        <v>#REF!</v>
      </c>
      <c r="U41" s="417" t="e">
        <f>IF(Задача_Вентилятор,MATCH(CONCATENATE($C41,"=ИСТИНА"),ПП_Оборудование!$I$3:$I$118,0),TRUE)</f>
        <v>#N/A</v>
      </c>
      <c r="V41" s="417" t="str">
        <f t="shared" ca="1" si="32"/>
        <v>-</v>
      </c>
      <c r="W41" s="419" t="e">
        <f t="shared" si="33"/>
        <v>#REF!</v>
      </c>
    </row>
    <row r="42" spans="1:23">
      <c r="A42" s="414" t="s">
        <v>509</v>
      </c>
      <c r="B42" s="36" t="s">
        <v>651</v>
      </c>
      <c r="C42" s="36" t="s">
        <v>648</v>
      </c>
      <c r="D42" s="36"/>
      <c r="E42" s="36" t="b">
        <f t="shared" si="14"/>
        <v>1</v>
      </c>
      <c r="F42" s="36">
        <v>1</v>
      </c>
      <c r="G42" s="36" t="b">
        <f>IF(AND(Задача_ТипКод=A42,Задача_Рекуператор),MATCH(CONCATENATE($C42,"=ИСТИНА"),ПП_Оборудование!I$370:I$378,0),TRUE)</f>
        <v>1</v>
      </c>
      <c r="H42" s="36" t="b">
        <f>IF(AND(Задача_ТипКод=A42,Задача_Нагреватель),MATCH(CONCATENATE($C42,"=ИСТИНА"),ПП_Оборудование!$I$287:$I$366,0),TRUE)</f>
        <v>1</v>
      </c>
      <c r="I42" s="415"/>
      <c r="J42" s="36" t="b">
        <f t="shared" si="16"/>
        <v>1</v>
      </c>
      <c r="K42" s="415" t="b">
        <f t="shared" si="24"/>
        <v>1</v>
      </c>
      <c r="L42" s="415"/>
      <c r="M42" s="35" t="e">
        <f t="shared" ca="1" si="25"/>
        <v>#REF!</v>
      </c>
      <c r="N42" s="35" t="e">
        <f t="shared" ca="1" si="26"/>
        <v>#REF!</v>
      </c>
      <c r="O42" s="35" t="str">
        <f t="shared" ca="1" si="27"/>
        <v/>
      </c>
      <c r="P42" s="35" t="e">
        <f t="shared" ca="1" si="28"/>
        <v>#REF!</v>
      </c>
      <c r="Q42" s="36"/>
      <c r="R42" s="35" t="e">
        <f t="shared" ca="1" si="29"/>
        <v>#REF!</v>
      </c>
      <c r="S42" s="35" t="e">
        <f t="shared" ca="1" si="30"/>
        <v>#REF!</v>
      </c>
      <c r="T42" s="35" t="e">
        <f t="shared" ca="1" si="31"/>
        <v>#REF!</v>
      </c>
      <c r="U42" s="36" t="e">
        <f>IF(Задача_Вентилятор,MATCH(CONCATENATE($C42,"=ИСТИНА"),ПП_Оборудование!$I$3:$I$118,0),TRUE)</f>
        <v>#N/A</v>
      </c>
      <c r="V42" s="36" t="str">
        <f t="shared" ca="1" si="32"/>
        <v>-</v>
      </c>
      <c r="W42" s="416" t="e">
        <f t="shared" si="33"/>
        <v>#REF!</v>
      </c>
    </row>
    <row r="43" spans="1:23">
      <c r="A43" s="414" t="s">
        <v>509</v>
      </c>
      <c r="B43" s="36" t="s">
        <v>652</v>
      </c>
      <c r="C43" s="36" t="s">
        <v>139</v>
      </c>
      <c r="D43" s="36"/>
      <c r="E43" s="36" t="b">
        <f t="shared" si="14"/>
        <v>1</v>
      </c>
      <c r="F43" s="36">
        <v>1</v>
      </c>
      <c r="G43" s="36" t="b">
        <f>IF(AND(Задача_ТипКод=A43,Задача_Рекуператор),MATCH(CONCATENATE($C43,"=ИСТИНА"),ПП_Оборудование!I$370:I$378,0),TRUE)</f>
        <v>1</v>
      </c>
      <c r="H43" s="36" t="b">
        <f>IF(AND(Задача_ТипКод=A43,Задача_Нагреватель),MATCH(CONCATENATE($C43,"=ИСТИНА"),ПП_Оборудование!$I$287:$I$366,0),TRUE)</f>
        <v>1</v>
      </c>
      <c r="I43" s="415"/>
      <c r="J43" s="36" t="b">
        <f t="shared" si="16"/>
        <v>1</v>
      </c>
      <c r="K43" s="415" t="b">
        <f t="shared" si="24"/>
        <v>1</v>
      </c>
      <c r="L43" s="415"/>
      <c r="M43" s="35" t="e">
        <f t="shared" ca="1" si="25"/>
        <v>#REF!</v>
      </c>
      <c r="N43" s="35" t="e">
        <f t="shared" ca="1" si="26"/>
        <v>#REF!</v>
      </c>
      <c r="O43" s="35" t="str">
        <f t="shared" ca="1" si="27"/>
        <v/>
      </c>
      <c r="P43" s="35" t="e">
        <f t="shared" ca="1" si="28"/>
        <v>#REF!</v>
      </c>
      <c r="Q43" s="36"/>
      <c r="R43" s="35" t="e">
        <f t="shared" ca="1" si="29"/>
        <v>#REF!</v>
      </c>
      <c r="S43" s="35" t="e">
        <f t="shared" ca="1" si="30"/>
        <v>#REF!</v>
      </c>
      <c r="T43" s="35" t="e">
        <f t="shared" ca="1" si="31"/>
        <v>#REF!</v>
      </c>
      <c r="U43" s="36" t="e">
        <f>IF(Задача_Вентилятор,MATCH(CONCATENATE($C43,"=ИСТИНА"),ПП_Оборудование!$I$3:$I$118,0),TRUE)</f>
        <v>#N/A</v>
      </c>
      <c r="V43" s="36" t="str">
        <f t="shared" ca="1" si="32"/>
        <v>-</v>
      </c>
      <c r="W43" s="416" t="e">
        <f t="shared" si="33"/>
        <v>#REF!</v>
      </c>
    </row>
    <row r="44" spans="1:23">
      <c r="A44" s="414" t="s">
        <v>509</v>
      </c>
      <c r="B44" s="36" t="s">
        <v>653</v>
      </c>
      <c r="C44" s="36" t="s">
        <v>141</v>
      </c>
      <c r="D44" s="36"/>
      <c r="E44" s="36" t="b">
        <f t="shared" si="14"/>
        <v>1</v>
      </c>
      <c r="F44" s="36">
        <v>1</v>
      </c>
      <c r="G44" s="36" t="b">
        <f>IF(AND(Задача_ТипКод=A44,Задача_Рекуператор),MATCH(CONCATENATE($C44,"=ИСТИНА"),ПП_Оборудование!I$370:I$378,0),TRUE)</f>
        <v>1</v>
      </c>
      <c r="H44" s="36" t="b">
        <f>IF(AND(Задача_ТипКод=A44,Задача_Нагреватель),MATCH(CONCATENATE($C44,"=ИСТИНА"),ПП_Оборудование!$I$287:$I$366,0),TRUE)</f>
        <v>1</v>
      </c>
      <c r="I44" s="415"/>
      <c r="J44" s="36" t="b">
        <f t="shared" si="16"/>
        <v>1</v>
      </c>
      <c r="K44" s="415" t="b">
        <f t="shared" si="24"/>
        <v>1</v>
      </c>
      <c r="L44" s="415"/>
      <c r="M44" s="35" t="e">
        <f t="shared" ca="1" si="25"/>
        <v>#REF!</v>
      </c>
      <c r="N44" s="35" t="e">
        <f t="shared" ca="1" si="26"/>
        <v>#REF!</v>
      </c>
      <c r="O44" s="35" t="str">
        <f t="shared" ca="1" si="27"/>
        <v/>
      </c>
      <c r="P44" s="35" t="e">
        <f t="shared" ca="1" si="28"/>
        <v>#REF!</v>
      </c>
      <c r="Q44" s="36"/>
      <c r="R44" s="35" t="e">
        <f t="shared" ca="1" si="29"/>
        <v>#REF!</v>
      </c>
      <c r="S44" s="35" t="e">
        <f t="shared" ca="1" si="30"/>
        <v>#REF!</v>
      </c>
      <c r="T44" s="35" t="e">
        <f t="shared" ca="1" si="31"/>
        <v>#REF!</v>
      </c>
      <c r="U44" s="36" t="e">
        <f>IF(Задача_Вентилятор,MATCH(CONCATENATE($C44,"=ИСТИНА"),ПП_Оборудование!$I$3:$I$118,0),TRUE)</f>
        <v>#N/A</v>
      </c>
      <c r="V44" s="36" t="str">
        <f t="shared" ca="1" si="32"/>
        <v>-</v>
      </c>
      <c r="W44" s="416" t="e">
        <f t="shared" si="33"/>
        <v>#REF!</v>
      </c>
    </row>
    <row r="45" spans="1:23">
      <c r="A45" s="414" t="s">
        <v>509</v>
      </c>
      <c r="B45" s="36" t="s">
        <v>654</v>
      </c>
      <c r="C45" s="36" t="s">
        <v>143</v>
      </c>
      <c r="D45" s="36"/>
      <c r="E45" s="36" t="b">
        <f t="shared" si="14"/>
        <v>1</v>
      </c>
      <c r="F45" s="36">
        <v>1</v>
      </c>
      <c r="G45" s="36" t="b">
        <f>IF(AND(Задача_ТипКод=A45,Задача_Рекуператор),MATCH(CONCATENATE($C45,"=ИСТИНА"),ПП_Оборудование!I$370:I$378,0),TRUE)</f>
        <v>1</v>
      </c>
      <c r="H45" s="36" t="b">
        <f>IF(AND(Задача_ТипКод=A45,Задача_Нагреватель),MATCH(CONCATENATE($C45,"=ИСТИНА"),ПП_Оборудование!$I$287:$I$366,0),TRUE)</f>
        <v>1</v>
      </c>
      <c r="I45" s="415"/>
      <c r="J45" s="36" t="b">
        <f t="shared" si="16"/>
        <v>1</v>
      </c>
      <c r="K45" s="415" t="b">
        <f t="shared" si="24"/>
        <v>1</v>
      </c>
      <c r="L45" s="415"/>
      <c r="M45" s="35" t="e">
        <f t="shared" ca="1" si="25"/>
        <v>#REF!</v>
      </c>
      <c r="N45" s="35" t="e">
        <f t="shared" ca="1" si="26"/>
        <v>#REF!</v>
      </c>
      <c r="O45" s="35" t="str">
        <f t="shared" ca="1" si="27"/>
        <v/>
      </c>
      <c r="P45" s="35" t="e">
        <f t="shared" ca="1" si="28"/>
        <v>#REF!</v>
      </c>
      <c r="Q45" s="36"/>
      <c r="R45" s="35" t="e">
        <f t="shared" ca="1" si="29"/>
        <v>#REF!</v>
      </c>
      <c r="S45" s="35" t="e">
        <f t="shared" ca="1" si="30"/>
        <v>#REF!</v>
      </c>
      <c r="T45" s="35" t="e">
        <f t="shared" ca="1" si="31"/>
        <v>#REF!</v>
      </c>
      <c r="U45" s="36" t="e">
        <f>IF(Задача_Вентилятор,MATCH(CONCATENATE($C45,"=ИСТИНА"),ПП_Оборудование!$I$3:$I$118,0),TRUE)</f>
        <v>#N/A</v>
      </c>
      <c r="V45" s="36" t="str">
        <f t="shared" ca="1" si="32"/>
        <v>-</v>
      </c>
      <c r="W45" s="416" t="e">
        <f t="shared" si="33"/>
        <v>#REF!</v>
      </c>
    </row>
    <row r="46" spans="1:23">
      <c r="A46" s="414" t="s">
        <v>509</v>
      </c>
      <c r="B46" s="36" t="s">
        <v>655</v>
      </c>
      <c r="C46" s="36" t="s">
        <v>145</v>
      </c>
      <c r="D46" s="36"/>
      <c r="E46" s="36" t="b">
        <f t="shared" si="14"/>
        <v>1</v>
      </c>
      <c r="F46" s="36">
        <v>1</v>
      </c>
      <c r="G46" s="36" t="b">
        <f>IF(AND(Задача_ТипКод=A46,Задача_Рекуператор),MATCH(CONCATENATE($C46,"=ИСТИНА"),ПП_Оборудование!I$370:I$378,0),TRUE)</f>
        <v>1</v>
      </c>
      <c r="H46" s="36" t="b">
        <f>IF(AND(Задача_ТипКод=A46,Задача_Нагреватель),MATCH(CONCATENATE($C46,"=ИСТИНА"),ПП_Оборудование!$I$287:$I$366,0),TRUE)</f>
        <v>1</v>
      </c>
      <c r="I46" s="415"/>
      <c r="J46" s="36" t="b">
        <f t="shared" si="16"/>
        <v>1</v>
      </c>
      <c r="K46" s="415" t="b">
        <f t="shared" si="24"/>
        <v>1</v>
      </c>
      <c r="L46" s="415"/>
      <c r="M46" s="35" t="e">
        <f t="shared" ca="1" si="25"/>
        <v>#REF!</v>
      </c>
      <c r="N46" s="35" t="e">
        <f t="shared" ca="1" si="26"/>
        <v>#REF!</v>
      </c>
      <c r="O46" s="35" t="str">
        <f t="shared" ca="1" si="27"/>
        <v/>
      </c>
      <c r="P46" s="35" t="e">
        <f t="shared" ca="1" si="28"/>
        <v>#REF!</v>
      </c>
      <c r="Q46" s="36"/>
      <c r="R46" s="35" t="e">
        <f t="shared" ca="1" si="29"/>
        <v>#REF!</v>
      </c>
      <c r="S46" s="35" t="e">
        <f t="shared" ca="1" si="30"/>
        <v>#REF!</v>
      </c>
      <c r="T46" s="35" t="e">
        <f t="shared" ca="1" si="31"/>
        <v>#REF!</v>
      </c>
      <c r="U46" s="36" t="e">
        <f>IF(Задача_Вентилятор,MATCH(CONCATENATE($C46,"=ИСТИНА"),ПП_Оборудование!$I$3:$I$118,0),TRUE)</f>
        <v>#N/A</v>
      </c>
      <c r="V46" s="36" t="str">
        <f t="shared" ca="1" si="32"/>
        <v>-</v>
      </c>
      <c r="W46" s="416" t="e">
        <f t="shared" si="33"/>
        <v>#REF!</v>
      </c>
    </row>
    <row r="47" spans="1:23">
      <c r="A47" s="414" t="s">
        <v>509</v>
      </c>
      <c r="B47" s="36" t="s">
        <v>656</v>
      </c>
      <c r="C47" s="36" t="s">
        <v>147</v>
      </c>
      <c r="D47" s="36"/>
      <c r="E47" s="36" t="b">
        <f t="shared" si="14"/>
        <v>1</v>
      </c>
      <c r="F47" s="36">
        <v>1</v>
      </c>
      <c r="G47" s="36" t="b">
        <f>IF(AND(Задача_ТипКод=A47,Задача_Рекуператор),MATCH(CONCATENATE($C47,"=ИСТИНА"),ПП_Оборудование!I$370:I$378,0),TRUE)</f>
        <v>1</v>
      </c>
      <c r="H47" s="36" t="b">
        <f>IF(AND(Задача_ТипКод=A47,Задача_Нагреватель),MATCH(CONCATENATE($C47,"=ИСТИНА"),ПП_Оборудование!$I$287:$I$366,0),TRUE)</f>
        <v>1</v>
      </c>
      <c r="I47" s="415"/>
      <c r="J47" s="36" t="b">
        <f t="shared" si="16"/>
        <v>1</v>
      </c>
      <c r="K47" s="415" t="b">
        <f t="shared" si="24"/>
        <v>1</v>
      </c>
      <c r="L47" s="415"/>
      <c r="M47" s="35" t="e">
        <f t="shared" ca="1" si="25"/>
        <v>#REF!</v>
      </c>
      <c r="N47" s="35" t="e">
        <f t="shared" ca="1" si="26"/>
        <v>#REF!</v>
      </c>
      <c r="O47" s="35" t="str">
        <f t="shared" ca="1" si="27"/>
        <v/>
      </c>
      <c r="P47" s="35" t="e">
        <f t="shared" ca="1" si="28"/>
        <v>#REF!</v>
      </c>
      <c r="Q47" s="36"/>
      <c r="R47" s="35" t="e">
        <f t="shared" ca="1" si="29"/>
        <v>#REF!</v>
      </c>
      <c r="S47" s="35" t="e">
        <f t="shared" ca="1" si="30"/>
        <v>#REF!</v>
      </c>
      <c r="T47" s="35" t="e">
        <f t="shared" ca="1" si="31"/>
        <v>#REF!</v>
      </c>
      <c r="U47" s="36" t="e">
        <f>IF(Задача_Вентилятор,MATCH(CONCATENATE($C47,"=ИСТИНА"),ПП_Оборудование!$I$3:$I$118,0),TRUE)</f>
        <v>#N/A</v>
      </c>
      <c r="V47" s="36" t="str">
        <f t="shared" ca="1" si="32"/>
        <v>-</v>
      </c>
      <c r="W47" s="416" t="e">
        <f t="shared" si="33"/>
        <v>#REF!</v>
      </c>
    </row>
    <row r="48" spans="1:23">
      <c r="A48" s="414" t="s">
        <v>509</v>
      </c>
      <c r="B48" s="36" t="s">
        <v>657</v>
      </c>
      <c r="C48" s="36" t="s">
        <v>649</v>
      </c>
      <c r="D48" s="36"/>
      <c r="E48" s="36" t="b">
        <f t="shared" si="14"/>
        <v>1</v>
      </c>
      <c r="F48" s="36">
        <v>1</v>
      </c>
      <c r="G48" s="36" t="b">
        <f>IF(AND(Задача_ТипКод=A48,Задача_Рекуператор),MATCH(CONCATENATE($C48,"=ИСТИНА"),ПП_Оборудование!I$370:I$378,0),TRUE)</f>
        <v>1</v>
      </c>
      <c r="H48" s="36" t="b">
        <f>IF(AND(Задача_ТипКод=A48,Задача_Нагреватель),MATCH(CONCATENATE($C48,"=ИСТИНА"),ПП_Оборудование!$I$287:$I$366,0),TRUE)</f>
        <v>1</v>
      </c>
      <c r="I48" s="415"/>
      <c r="J48" s="36" t="b">
        <f t="shared" si="16"/>
        <v>1</v>
      </c>
      <c r="K48" s="415" t="b">
        <f t="shared" si="24"/>
        <v>1</v>
      </c>
      <c r="L48" s="415"/>
      <c r="M48" s="35" t="e">
        <f t="shared" ca="1" si="25"/>
        <v>#REF!</v>
      </c>
      <c r="N48" s="35" t="e">
        <f t="shared" ca="1" si="26"/>
        <v>#REF!</v>
      </c>
      <c r="O48" s="35" t="str">
        <f t="shared" ca="1" si="27"/>
        <v/>
      </c>
      <c r="P48" s="35" t="e">
        <f t="shared" ca="1" si="28"/>
        <v>#REF!</v>
      </c>
      <c r="Q48" s="36"/>
      <c r="R48" s="35" t="e">
        <f t="shared" ca="1" si="29"/>
        <v>#REF!</v>
      </c>
      <c r="S48" s="35" t="e">
        <f t="shared" ca="1" si="30"/>
        <v>#REF!</v>
      </c>
      <c r="T48" s="35" t="e">
        <f t="shared" ca="1" si="31"/>
        <v>#REF!</v>
      </c>
      <c r="U48" s="36" t="e">
        <f>IF(Задача_Вентилятор,MATCH(CONCATENATE($C48,"=ИСТИНА"),ПП_Оборудование!$I$3:$I$118,0),TRUE)</f>
        <v>#N/A</v>
      </c>
      <c r="V48" s="36" t="str">
        <f t="shared" ca="1" si="32"/>
        <v>-</v>
      </c>
      <c r="W48" s="416" t="e">
        <f t="shared" si="33"/>
        <v>#REF!</v>
      </c>
    </row>
    <row r="49" spans="1:23">
      <c r="A49" s="414" t="s">
        <v>509</v>
      </c>
      <c r="B49" s="36" t="s">
        <v>658</v>
      </c>
      <c r="C49" s="36" t="s">
        <v>650</v>
      </c>
      <c r="D49" s="36"/>
      <c r="E49" s="36" t="b">
        <f t="shared" si="14"/>
        <v>1</v>
      </c>
      <c r="F49" s="36">
        <v>1</v>
      </c>
      <c r="G49" s="36" t="b">
        <f>IF(AND(Задача_ТипКод=A49,Задача_Рекуператор),MATCH(CONCATENATE($C49,"=ИСТИНА"),ПП_Оборудование!I$370:I$378,0),TRUE)</f>
        <v>1</v>
      </c>
      <c r="H49" s="36" t="b">
        <f>IF(AND(Задача_ТипКод=A49,Задача_Нагреватель),MATCH(CONCATENATE($C49,"=ИСТИНА"),ПП_Оборудование!$I$287:$I$366,0),TRUE)</f>
        <v>1</v>
      </c>
      <c r="I49" s="415"/>
      <c r="J49" s="36" t="b">
        <f t="shared" si="16"/>
        <v>1</v>
      </c>
      <c r="K49" s="415" t="b">
        <f t="shared" si="24"/>
        <v>1</v>
      </c>
      <c r="L49" s="415"/>
      <c r="M49" s="35" t="e">
        <f t="shared" ca="1" si="25"/>
        <v>#REF!</v>
      </c>
      <c r="N49" s="35" t="e">
        <f t="shared" ca="1" si="26"/>
        <v>#REF!</v>
      </c>
      <c r="O49" s="35" t="str">
        <f t="shared" ca="1" si="27"/>
        <v/>
      </c>
      <c r="P49" s="35" t="e">
        <f t="shared" ca="1" si="28"/>
        <v>#REF!</v>
      </c>
      <c r="Q49" s="36"/>
      <c r="R49" s="35" t="e">
        <f t="shared" ca="1" si="29"/>
        <v>#REF!</v>
      </c>
      <c r="S49" s="35" t="e">
        <f t="shared" ca="1" si="30"/>
        <v>#REF!</v>
      </c>
      <c r="T49" s="35" t="e">
        <f t="shared" ca="1" si="31"/>
        <v>#REF!</v>
      </c>
      <c r="U49" s="36" t="e">
        <f>IF(Задача_Вентилятор,MATCH(CONCATENATE($C49,"=ИСТИНА"),ПП_Оборудование!$I$3:$I$118,0),TRUE)</f>
        <v>#N/A</v>
      </c>
      <c r="V49" s="36" t="str">
        <f t="shared" ca="1" si="32"/>
        <v>-</v>
      </c>
      <c r="W49" s="416" t="e">
        <f t="shared" si="33"/>
        <v>#REF!</v>
      </c>
    </row>
    <row r="50" spans="1:23">
      <c r="A50" s="414" t="s">
        <v>509</v>
      </c>
      <c r="B50" s="36" t="s">
        <v>659</v>
      </c>
      <c r="C50" s="36" t="s">
        <v>139</v>
      </c>
      <c r="D50" s="36"/>
      <c r="E50" s="36" t="b">
        <f t="shared" si="14"/>
        <v>1</v>
      </c>
      <c r="F50" s="36">
        <v>1</v>
      </c>
      <c r="G50" s="36" t="b">
        <f>IF(AND(Задача_ТипКод=A50,Задача_Рекуператор),MATCH(CONCATENATE($C50,"=ИСТИНА"),ПП_Оборудование!I$370:I$378,0),TRUE)</f>
        <v>1</v>
      </c>
      <c r="H50" s="36" t="b">
        <f>IF(AND(Задача_ТипКод=A50,Задача_Нагреватель),MATCH(CONCATENATE($C50,"=ИСТИНА"),ПП_Оборудование!$I$287:$I$366,0),TRUE)</f>
        <v>1</v>
      </c>
      <c r="I50" s="415"/>
      <c r="J50" s="36" t="b">
        <f t="shared" si="16"/>
        <v>1</v>
      </c>
      <c r="K50" s="415" t="b">
        <f t="shared" ref="K50:K56" si="34">IFERROR(AND(E50:J50),FALSE)</f>
        <v>1</v>
      </c>
      <c r="L50" s="415"/>
      <c r="M50" s="35" t="e">
        <f t="shared" ref="M50:M56" ca="1" si="35">IF(Задача_Заслонка,OFFSET(Оборудование_Заслонки,E50+1,7),"")</f>
        <v>#REF!</v>
      </c>
      <c r="N50" s="35" t="e">
        <f t="shared" ref="N50:N56" ca="1" si="36">IF(Задача_Фильтр,OFFSET(Оборудование_Фильтры,F50+1,7),"")</f>
        <v>#REF!</v>
      </c>
      <c r="O50" s="35" t="str">
        <f t="shared" ref="O50:O56" ca="1" si="37">IF(Задача_Рекуператор,OFFSET(Оборудование_Рекуператоры,G50+1,7),"")</f>
        <v/>
      </c>
      <c r="P50" s="35" t="e">
        <f t="shared" ref="P50:P56" ca="1" si="38">IF(Задача_Нагреватель,OFFSET(Оборудование_Нагреватели,H50+1,7),"")</f>
        <v>#REF!</v>
      </c>
      <c r="Q50" s="36"/>
      <c r="R50" s="35" t="e">
        <f t="shared" ref="R50:R56" ca="1" si="39">IF(Задача_Шумоглушитель,OFFSET(Оборудование_Шумоглушители,J50+1,7),"")</f>
        <v>#REF!</v>
      </c>
      <c r="S50" s="35" t="e">
        <f t="shared" ref="S50:S56" ca="1" si="40">SUM(M50:R50)</f>
        <v>#REF!</v>
      </c>
      <c r="T50" s="35" t="e">
        <f t="shared" ref="T50:T56" ca="1" si="41">S50+Задача_Напор</f>
        <v>#REF!</v>
      </c>
      <c r="U50" s="36" t="e">
        <f>IF(Задача_Вентилятор,MATCH(CONCATENATE($C50,"=ИСТИНА"),ПП_Оборудование!$I$3:$I$118,0),TRUE)</f>
        <v>#N/A</v>
      </c>
      <c r="V50" s="36" t="str">
        <f t="shared" ref="V50:V56" ca="1" si="42">IFERROR(IF(W50,OFFSET(Оборудование_Вентиляторы,U50+1,4),"-"),"-")</f>
        <v>-</v>
      </c>
      <c r="W50" s="416" t="e">
        <f t="shared" ref="W50:W56" si="43">AND(Задача_ТипКод=A50,OR(Задача_Размер=Значение_Авто,Задача_Размер=B50),K50,U50)</f>
        <v>#REF!</v>
      </c>
    </row>
    <row r="51" spans="1:23">
      <c r="A51" s="414" t="s">
        <v>509</v>
      </c>
      <c r="B51" s="36" t="s">
        <v>653</v>
      </c>
      <c r="C51" s="36" t="s">
        <v>141</v>
      </c>
      <c r="D51" s="36"/>
      <c r="E51" s="36" t="b">
        <f t="shared" si="14"/>
        <v>1</v>
      </c>
      <c r="F51" s="36">
        <v>1</v>
      </c>
      <c r="G51" s="36" t="b">
        <f>IF(AND(Задача_ТипКод=A51,Задача_Рекуператор),MATCH(CONCATENATE($C51,"=ИСТИНА"),ПП_Оборудование!I$370:I$378,0),TRUE)</f>
        <v>1</v>
      </c>
      <c r="H51" s="36" t="b">
        <f>IF(AND(Задача_ТипКод=A51,Задача_Нагреватель),MATCH(CONCATENATE($C51,"=ИСТИНА"),ПП_Оборудование!$I$287:$I$366,0),TRUE)</f>
        <v>1</v>
      </c>
      <c r="I51" s="415"/>
      <c r="J51" s="36" t="b">
        <f t="shared" si="16"/>
        <v>1</v>
      </c>
      <c r="K51" s="415" t="b">
        <f t="shared" si="34"/>
        <v>1</v>
      </c>
      <c r="L51" s="415"/>
      <c r="M51" s="35" t="e">
        <f t="shared" ca="1" si="35"/>
        <v>#REF!</v>
      </c>
      <c r="N51" s="35" t="e">
        <f t="shared" ca="1" si="36"/>
        <v>#REF!</v>
      </c>
      <c r="O51" s="35" t="str">
        <f t="shared" ca="1" si="37"/>
        <v/>
      </c>
      <c r="P51" s="35" t="e">
        <f t="shared" ca="1" si="38"/>
        <v>#REF!</v>
      </c>
      <c r="Q51" s="36"/>
      <c r="R51" s="35" t="e">
        <f t="shared" ca="1" si="39"/>
        <v>#REF!</v>
      </c>
      <c r="S51" s="35" t="e">
        <f t="shared" ca="1" si="40"/>
        <v>#REF!</v>
      </c>
      <c r="T51" s="35" t="e">
        <f t="shared" ca="1" si="41"/>
        <v>#REF!</v>
      </c>
      <c r="U51" s="36" t="e">
        <f>IF(Задача_Вентилятор,MATCH(CONCATENATE($C51,"=ИСТИНА"),ПП_Оборудование!$I$3:$I$118,0),TRUE)</f>
        <v>#N/A</v>
      </c>
      <c r="V51" s="36" t="str">
        <f t="shared" ca="1" si="42"/>
        <v>-</v>
      </c>
      <c r="W51" s="416" t="e">
        <f t="shared" si="43"/>
        <v>#REF!</v>
      </c>
    </row>
    <row r="52" spans="1:23">
      <c r="A52" s="414" t="s">
        <v>509</v>
      </c>
      <c r="B52" s="36" t="s">
        <v>654</v>
      </c>
      <c r="C52" s="36" t="s">
        <v>143</v>
      </c>
      <c r="D52" s="36"/>
      <c r="E52" s="36" t="b">
        <f t="shared" si="14"/>
        <v>1</v>
      </c>
      <c r="F52" s="36">
        <v>1</v>
      </c>
      <c r="G52" s="36" t="b">
        <f>IF(AND(Задача_ТипКод=A52,Задача_Рекуператор),MATCH(CONCATENATE($C52,"=ИСТИНА"),ПП_Оборудование!I$370:I$378,0),TRUE)</f>
        <v>1</v>
      </c>
      <c r="H52" s="36" t="b">
        <f>IF(AND(Задача_ТипКод=A52,Задача_Нагреватель),MATCH(CONCATENATE($C52,"=ИСТИНА"),ПП_Оборудование!$I$287:$I$366,0),TRUE)</f>
        <v>1</v>
      </c>
      <c r="I52" s="415"/>
      <c r="J52" s="36" t="b">
        <f t="shared" si="16"/>
        <v>1</v>
      </c>
      <c r="K52" s="415" t="b">
        <f t="shared" si="34"/>
        <v>1</v>
      </c>
      <c r="L52" s="415"/>
      <c r="M52" s="35" t="e">
        <f t="shared" ca="1" si="35"/>
        <v>#REF!</v>
      </c>
      <c r="N52" s="35" t="e">
        <f t="shared" ca="1" si="36"/>
        <v>#REF!</v>
      </c>
      <c r="O52" s="35" t="str">
        <f t="shared" ca="1" si="37"/>
        <v/>
      </c>
      <c r="P52" s="35" t="e">
        <f t="shared" ca="1" si="38"/>
        <v>#REF!</v>
      </c>
      <c r="Q52" s="36"/>
      <c r="R52" s="35" t="e">
        <f t="shared" ca="1" si="39"/>
        <v>#REF!</v>
      </c>
      <c r="S52" s="35" t="e">
        <f t="shared" ca="1" si="40"/>
        <v>#REF!</v>
      </c>
      <c r="T52" s="35" t="e">
        <f t="shared" ca="1" si="41"/>
        <v>#REF!</v>
      </c>
      <c r="U52" s="36" t="e">
        <f>IF(Задача_Вентилятор,MATCH(CONCATENATE($C52,"=ИСТИНА"),ПП_Оборудование!$I$3:$I$118,0),TRUE)</f>
        <v>#N/A</v>
      </c>
      <c r="V52" s="36" t="str">
        <f t="shared" ca="1" si="42"/>
        <v>-</v>
      </c>
      <c r="W52" s="416" t="e">
        <f t="shared" si="43"/>
        <v>#REF!</v>
      </c>
    </row>
    <row r="53" spans="1:23">
      <c r="A53" s="414" t="s">
        <v>509</v>
      </c>
      <c r="B53" s="36" t="s">
        <v>655</v>
      </c>
      <c r="C53" s="36" t="s">
        <v>145</v>
      </c>
      <c r="D53" s="36"/>
      <c r="E53" s="36" t="b">
        <f t="shared" si="14"/>
        <v>1</v>
      </c>
      <c r="F53" s="36">
        <v>1</v>
      </c>
      <c r="G53" s="36" t="b">
        <f>IF(AND(Задача_ТипКод=A53,Задача_Рекуператор),MATCH(CONCATENATE($C53,"=ИСТИНА"),ПП_Оборудование!I$370:I$378,0),TRUE)</f>
        <v>1</v>
      </c>
      <c r="H53" s="36" t="b">
        <f>IF(AND(Задача_ТипКод=A53,Задача_Нагреватель),MATCH(CONCATENATE($C53,"=ИСТИНА"),ПП_Оборудование!$I$287:$I$366,0),TRUE)</f>
        <v>1</v>
      </c>
      <c r="I53" s="415"/>
      <c r="J53" s="36" t="b">
        <f t="shared" si="16"/>
        <v>1</v>
      </c>
      <c r="K53" s="415" t="b">
        <f t="shared" si="34"/>
        <v>1</v>
      </c>
      <c r="L53" s="415"/>
      <c r="M53" s="35" t="e">
        <f t="shared" ca="1" si="35"/>
        <v>#REF!</v>
      </c>
      <c r="N53" s="35" t="e">
        <f t="shared" ca="1" si="36"/>
        <v>#REF!</v>
      </c>
      <c r="O53" s="35" t="str">
        <f t="shared" ca="1" si="37"/>
        <v/>
      </c>
      <c r="P53" s="35" t="e">
        <f t="shared" ca="1" si="38"/>
        <v>#REF!</v>
      </c>
      <c r="Q53" s="36"/>
      <c r="R53" s="35" t="e">
        <f t="shared" ca="1" si="39"/>
        <v>#REF!</v>
      </c>
      <c r="S53" s="35" t="e">
        <f t="shared" ca="1" si="40"/>
        <v>#REF!</v>
      </c>
      <c r="T53" s="35" t="e">
        <f t="shared" ca="1" si="41"/>
        <v>#REF!</v>
      </c>
      <c r="U53" s="36" t="e">
        <f>IF(Задача_Вентилятор,MATCH(CONCATENATE($C53,"=ИСТИНА"),ПП_Оборудование!$I$3:$I$118,0),TRUE)</f>
        <v>#N/A</v>
      </c>
      <c r="V53" s="36" t="str">
        <f t="shared" ca="1" si="42"/>
        <v>-</v>
      </c>
      <c r="W53" s="416" t="e">
        <f t="shared" si="43"/>
        <v>#REF!</v>
      </c>
    </row>
    <row r="54" spans="1:23">
      <c r="A54" s="414" t="s">
        <v>509</v>
      </c>
      <c r="B54" s="36" t="s">
        <v>656</v>
      </c>
      <c r="C54" s="36" t="s">
        <v>147</v>
      </c>
      <c r="D54" s="36"/>
      <c r="E54" s="36" t="b">
        <f t="shared" si="14"/>
        <v>1</v>
      </c>
      <c r="F54" s="36">
        <v>1</v>
      </c>
      <c r="G54" s="36" t="b">
        <f>IF(AND(Задача_ТипКод=A54,Задача_Рекуператор),MATCH(CONCATENATE($C54,"=ИСТИНА"),ПП_Оборудование!I$370:I$378,0),TRUE)</f>
        <v>1</v>
      </c>
      <c r="H54" s="36" t="b">
        <f>IF(AND(Задача_ТипКод=A54,Задача_Нагреватель),MATCH(CONCATENATE($C54,"=ИСТИНА"),ПП_Оборудование!$I$287:$I$366,0),TRUE)</f>
        <v>1</v>
      </c>
      <c r="I54" s="415"/>
      <c r="J54" s="36" t="b">
        <f t="shared" si="16"/>
        <v>1</v>
      </c>
      <c r="K54" s="415" t="b">
        <f t="shared" si="34"/>
        <v>1</v>
      </c>
      <c r="L54" s="415"/>
      <c r="M54" s="35" t="e">
        <f t="shared" ca="1" si="35"/>
        <v>#REF!</v>
      </c>
      <c r="N54" s="35" t="e">
        <f t="shared" ca="1" si="36"/>
        <v>#REF!</v>
      </c>
      <c r="O54" s="35" t="str">
        <f t="shared" ca="1" si="37"/>
        <v/>
      </c>
      <c r="P54" s="35" t="e">
        <f t="shared" ca="1" si="38"/>
        <v>#REF!</v>
      </c>
      <c r="Q54" s="36"/>
      <c r="R54" s="35" t="e">
        <f t="shared" ca="1" si="39"/>
        <v>#REF!</v>
      </c>
      <c r="S54" s="35" t="e">
        <f t="shared" ca="1" si="40"/>
        <v>#REF!</v>
      </c>
      <c r="T54" s="35" t="e">
        <f t="shared" ca="1" si="41"/>
        <v>#REF!</v>
      </c>
      <c r="U54" s="36" t="e">
        <f>IF(Задача_Вентилятор,MATCH(CONCATENATE($C54,"=ИСТИНА"),ПП_Оборудование!$I$3:$I$118,0),TRUE)</f>
        <v>#N/A</v>
      </c>
      <c r="V54" s="36" t="str">
        <f t="shared" ca="1" si="42"/>
        <v>-</v>
      </c>
      <c r="W54" s="416" t="e">
        <f t="shared" si="43"/>
        <v>#REF!</v>
      </c>
    </row>
    <row r="55" spans="1:23">
      <c r="A55" s="414" t="s">
        <v>509</v>
      </c>
      <c r="B55" s="36" t="s">
        <v>657</v>
      </c>
      <c r="C55" s="36" t="s">
        <v>649</v>
      </c>
      <c r="D55" s="36"/>
      <c r="E55" s="36" t="b">
        <f t="shared" si="14"/>
        <v>1</v>
      </c>
      <c r="F55" s="36">
        <v>1</v>
      </c>
      <c r="G55" s="36" t="b">
        <f>IF(AND(Задача_ТипКод=A55,Задача_Рекуператор),MATCH(CONCATENATE($C55,"=ИСТИНА"),ПП_Оборудование!I$370:I$378,0),TRUE)</f>
        <v>1</v>
      </c>
      <c r="H55" s="36" t="b">
        <f>IF(AND(Задача_ТипКод=A55,Задача_Нагреватель),MATCH(CONCATENATE($C55,"=ИСТИНА"),ПП_Оборудование!$I$287:$I$366,0),TRUE)</f>
        <v>1</v>
      </c>
      <c r="I55" s="415"/>
      <c r="J55" s="36" t="b">
        <f t="shared" si="16"/>
        <v>1</v>
      </c>
      <c r="K55" s="415" t="b">
        <f t="shared" si="34"/>
        <v>1</v>
      </c>
      <c r="L55" s="415"/>
      <c r="M55" s="35" t="e">
        <f t="shared" ca="1" si="35"/>
        <v>#REF!</v>
      </c>
      <c r="N55" s="35" t="e">
        <f t="shared" ca="1" si="36"/>
        <v>#REF!</v>
      </c>
      <c r="O55" s="35" t="str">
        <f t="shared" ca="1" si="37"/>
        <v/>
      </c>
      <c r="P55" s="35" t="e">
        <f t="shared" ca="1" si="38"/>
        <v>#REF!</v>
      </c>
      <c r="Q55" s="36"/>
      <c r="R55" s="35" t="e">
        <f t="shared" ca="1" si="39"/>
        <v>#REF!</v>
      </c>
      <c r="S55" s="35" t="e">
        <f t="shared" ca="1" si="40"/>
        <v>#REF!</v>
      </c>
      <c r="T55" s="35" t="e">
        <f t="shared" ca="1" si="41"/>
        <v>#REF!</v>
      </c>
      <c r="U55" s="36" t="e">
        <f>IF(Задача_Вентилятор,MATCH(CONCATENATE($C55,"=ИСТИНА"),ПП_Оборудование!$I$3:$I$118,0),TRUE)</f>
        <v>#N/A</v>
      </c>
      <c r="V55" s="36" t="str">
        <f t="shared" ca="1" si="42"/>
        <v>-</v>
      </c>
      <c r="W55" s="416" t="e">
        <f t="shared" si="43"/>
        <v>#REF!</v>
      </c>
    </row>
    <row r="56" spans="1:23">
      <c r="A56" s="414" t="s">
        <v>509</v>
      </c>
      <c r="B56" s="36" t="s">
        <v>658</v>
      </c>
      <c r="C56" s="36" t="s">
        <v>650</v>
      </c>
      <c r="D56" s="36"/>
      <c r="E56" s="36" t="b">
        <f t="shared" si="14"/>
        <v>1</v>
      </c>
      <c r="F56" s="36">
        <v>1</v>
      </c>
      <c r="G56" s="36" t="b">
        <f>IF(AND(Задача_ТипКод=A56,Задача_Рекуператор),MATCH(CONCATENATE($C56,"=ИСТИНА"),ПП_Оборудование!I$370:I$378,0),TRUE)</f>
        <v>1</v>
      </c>
      <c r="H56" s="36" t="b">
        <f>IF(AND(Задача_ТипКод=A56,Задача_Нагреватель),MATCH(CONCATENATE($C56,"=ИСТИНА"),ПП_Оборудование!$I$287:$I$366,0),TRUE)</f>
        <v>1</v>
      </c>
      <c r="I56" s="415"/>
      <c r="J56" s="36" t="b">
        <f t="shared" si="16"/>
        <v>1</v>
      </c>
      <c r="K56" s="415" t="b">
        <f t="shared" si="34"/>
        <v>1</v>
      </c>
      <c r="L56" s="415"/>
      <c r="M56" s="35" t="e">
        <f t="shared" ca="1" si="35"/>
        <v>#REF!</v>
      </c>
      <c r="N56" s="35" t="e">
        <f t="shared" ca="1" si="36"/>
        <v>#REF!</v>
      </c>
      <c r="O56" s="35" t="str">
        <f t="shared" ca="1" si="37"/>
        <v/>
      </c>
      <c r="P56" s="35" t="e">
        <f t="shared" ca="1" si="38"/>
        <v>#REF!</v>
      </c>
      <c r="Q56" s="36"/>
      <c r="R56" s="35" t="e">
        <f t="shared" ca="1" si="39"/>
        <v>#REF!</v>
      </c>
      <c r="S56" s="35" t="e">
        <f t="shared" ca="1" si="40"/>
        <v>#REF!</v>
      </c>
      <c r="T56" s="35" t="e">
        <f t="shared" ca="1" si="41"/>
        <v>#REF!</v>
      </c>
      <c r="U56" s="36" t="e">
        <f>IF(Задача_Вентилятор,MATCH(CONCATENATE($C56,"=ИСТИНА"),ПП_Оборудование!$I$3:$I$118,0),TRUE)</f>
        <v>#N/A</v>
      </c>
      <c r="V56" s="36" t="str">
        <f t="shared" ca="1" si="42"/>
        <v>-</v>
      </c>
      <c r="W56" s="416" t="e">
        <f t="shared" si="43"/>
        <v>#REF!</v>
      </c>
    </row>
    <row r="57" spans="1:23">
      <c r="A57" s="414" t="s">
        <v>509</v>
      </c>
      <c r="B57" s="36"/>
      <c r="C57" s="36"/>
      <c r="D57" s="36"/>
      <c r="E57" s="36" t="b">
        <f t="shared" si="14"/>
        <v>1</v>
      </c>
      <c r="F57" s="36">
        <v>1</v>
      </c>
      <c r="G57" s="36" t="b">
        <f>IF(AND(Задача_ТипКод=A57,Задача_Рекуператор),MATCH(CONCATENATE($C57,"=ИСТИНА"),ПП_Оборудование!I$370:I$378,0),TRUE)</f>
        <v>1</v>
      </c>
      <c r="H57" s="36" t="b">
        <f>IF(AND(Задача_ТипКод=A57,Задача_Нагреватель),MATCH(CONCATENATE($C57,"=ИСТИНА"),ПП_Оборудование!$I$287:$I$366,0),TRUE)</f>
        <v>1</v>
      </c>
      <c r="I57" s="415"/>
      <c r="J57" s="36" t="b">
        <f t="shared" si="16"/>
        <v>1</v>
      </c>
      <c r="K57" s="415" t="b">
        <f t="shared" si="24"/>
        <v>1</v>
      </c>
      <c r="L57" s="415"/>
      <c r="M57" s="35" t="e">
        <f t="shared" ca="1" si="25"/>
        <v>#REF!</v>
      </c>
      <c r="N57" s="35" t="e">
        <f t="shared" ca="1" si="26"/>
        <v>#REF!</v>
      </c>
      <c r="O57" s="35" t="str">
        <f t="shared" ca="1" si="27"/>
        <v/>
      </c>
      <c r="P57" s="35" t="e">
        <f t="shared" ca="1" si="28"/>
        <v>#REF!</v>
      </c>
      <c r="Q57" s="36"/>
      <c r="R57" s="35" t="e">
        <f t="shared" ca="1" si="29"/>
        <v>#REF!</v>
      </c>
      <c r="S57" s="35" t="e">
        <f t="shared" ca="1" si="30"/>
        <v>#REF!</v>
      </c>
      <c r="T57" s="35" t="e">
        <f t="shared" ca="1" si="31"/>
        <v>#REF!</v>
      </c>
      <c r="U57" s="36" t="e">
        <f>IF(Задача_Вентилятор,MATCH(CONCATENATE($C57,"=ИСТИНА"),ПП_Оборудование!$I$3:$I$118,0),TRUE)</f>
        <v>#N/A</v>
      </c>
      <c r="V57" s="36" t="str">
        <f t="shared" ca="1" si="32"/>
        <v>-</v>
      </c>
      <c r="W57" s="416" t="e">
        <f t="shared" si="33"/>
        <v>#REF!</v>
      </c>
    </row>
    <row r="58" spans="1:23">
      <c r="A58" s="414" t="s">
        <v>509</v>
      </c>
      <c r="B58" s="36"/>
      <c r="C58" s="36"/>
      <c r="D58" s="36"/>
      <c r="E58" s="36" t="b">
        <f t="shared" si="14"/>
        <v>1</v>
      </c>
      <c r="F58" s="36">
        <v>1</v>
      </c>
      <c r="G58" s="36" t="b">
        <f>IF(AND(Задача_ТипКод=A58,Задача_Рекуператор),MATCH(CONCATENATE($C58,"=ИСТИНА"),ПП_Оборудование!I$370:I$378,0),TRUE)</f>
        <v>1</v>
      </c>
      <c r="H58" s="36" t="b">
        <f>IF(AND(Задача_ТипКод=A58,Задача_Нагреватель),MATCH(CONCATENATE($C58,"=ИСТИНА"),ПП_Оборудование!$I$287:$I$366,0),TRUE)</f>
        <v>1</v>
      </c>
      <c r="I58" s="415"/>
      <c r="J58" s="36" t="b">
        <f t="shared" si="16"/>
        <v>1</v>
      </c>
      <c r="K58" s="415" t="b">
        <f t="shared" si="24"/>
        <v>1</v>
      </c>
      <c r="L58" s="415"/>
      <c r="M58" s="35" t="e">
        <f t="shared" ca="1" si="25"/>
        <v>#REF!</v>
      </c>
      <c r="N58" s="35" t="e">
        <f t="shared" ca="1" si="26"/>
        <v>#REF!</v>
      </c>
      <c r="O58" s="35" t="str">
        <f t="shared" ca="1" si="27"/>
        <v/>
      </c>
      <c r="P58" s="35" t="e">
        <f t="shared" ca="1" si="28"/>
        <v>#REF!</v>
      </c>
      <c r="Q58" s="36"/>
      <c r="R58" s="35" t="e">
        <f t="shared" ca="1" si="29"/>
        <v>#REF!</v>
      </c>
      <c r="S58" s="35" t="e">
        <f t="shared" ca="1" si="30"/>
        <v>#REF!</v>
      </c>
      <c r="T58" s="35" t="e">
        <f t="shared" ca="1" si="31"/>
        <v>#REF!</v>
      </c>
      <c r="U58" s="36" t="e">
        <f>IF(Задача_Вентилятор,MATCH(CONCATENATE($C58,"=ИСТИНА"),ПП_Оборудование!$I$3:$I$118,0),TRUE)</f>
        <v>#N/A</v>
      </c>
      <c r="V58" s="36" t="str">
        <f t="shared" ca="1" si="32"/>
        <v>-</v>
      </c>
      <c r="W58" s="416" t="e">
        <f t="shared" si="33"/>
        <v>#REF!</v>
      </c>
    </row>
    <row r="59" spans="1:23">
      <c r="A59" s="524" t="s">
        <v>509</v>
      </c>
      <c r="B59" s="417"/>
      <c r="C59" s="417"/>
      <c r="D59" s="417"/>
      <c r="E59" s="417" t="b">
        <f t="shared" si="14"/>
        <v>1</v>
      </c>
      <c r="F59" s="417">
        <v>1</v>
      </c>
      <c r="G59" s="417" t="b">
        <f>IF(AND(Задача_ТипКод=A59,Задача_Рекуператор),MATCH(CONCATENATE($C59,"=ИСТИНА"),ПП_Оборудование!I$370:I$378,0),TRUE)</f>
        <v>1</v>
      </c>
      <c r="H59" s="417" t="b">
        <f>IF(AND(Задача_ТипКод=A59,Задача_Нагреватель),MATCH(CONCATENATE($C59,"=ИСТИНА"),ПП_Оборудование!$I$287:$I$366,0),TRUE)</f>
        <v>1</v>
      </c>
      <c r="I59" s="13"/>
      <c r="J59" s="417" t="b">
        <f t="shared" si="16"/>
        <v>1</v>
      </c>
      <c r="K59" s="13" t="b">
        <f t="shared" si="24"/>
        <v>1</v>
      </c>
      <c r="L59" s="13"/>
      <c r="M59" s="418" t="e">
        <f t="shared" ca="1" si="25"/>
        <v>#REF!</v>
      </c>
      <c r="N59" s="418" t="e">
        <f t="shared" ca="1" si="26"/>
        <v>#REF!</v>
      </c>
      <c r="O59" s="418" t="str">
        <f t="shared" ca="1" si="27"/>
        <v/>
      </c>
      <c r="P59" s="418" t="e">
        <f t="shared" ca="1" si="28"/>
        <v>#REF!</v>
      </c>
      <c r="Q59" s="417"/>
      <c r="R59" s="418" t="e">
        <f t="shared" ca="1" si="29"/>
        <v>#REF!</v>
      </c>
      <c r="S59" s="418" t="e">
        <f t="shared" ca="1" si="30"/>
        <v>#REF!</v>
      </c>
      <c r="T59" s="418" t="e">
        <f t="shared" ca="1" si="31"/>
        <v>#REF!</v>
      </c>
      <c r="U59" s="417" t="e">
        <f>IF(Задача_Вентилятор,MATCH(CONCATENATE($C59,"=ИСТИНА"),ПП_Оборудование!$I$3:$I$118,0),TRUE)</f>
        <v>#N/A</v>
      </c>
      <c r="V59" s="417" t="str">
        <f t="shared" ca="1" si="32"/>
        <v>-</v>
      </c>
      <c r="W59" s="419" t="e">
        <f t="shared" si="33"/>
        <v>#REF!</v>
      </c>
    </row>
  </sheetData>
  <customSheetViews>
    <customSheetView guid="{0C99ABE2-728B-4C30-A993-CD651C64FAAE}" state="hidden">
      <pane xSplit="3" ySplit="2" topLeftCell="L37" activePane="bottomRight" state="frozen"/>
      <selection pane="bottomRight" activeCell="C43" sqref="C43"/>
      <pageMargins left="0.7" right="0.7" top="0.75" bottom="0.75" header="0.3" footer="0.3"/>
      <pageSetup paperSize="9" orientation="portrait" r:id="rId1"/>
    </customSheetView>
    <customSheetView guid="{2BA56ECA-30F6-456D-AB26-04DD1698A098}" state="hidden">
      <pane xSplit="3" ySplit="3" topLeftCell="L37" activePane="bottomRight" state="frozen"/>
      <selection pane="bottomRight" activeCell="C43" sqref="C43"/>
      <pageMargins left="0.7" right="0.7" top="0.75" bottom="0.75" header="0.3" footer="0.3"/>
      <pageSetup paperSize="9" orientation="portrait" r:id="rId2"/>
    </customSheetView>
  </customSheetViews>
  <mergeCells count="7">
    <mergeCell ref="D1:K1"/>
    <mergeCell ref="L1:S1"/>
    <mergeCell ref="A1:A3"/>
    <mergeCell ref="W1:W2"/>
    <mergeCell ref="C1:C2"/>
    <mergeCell ref="T1:T2"/>
    <mergeCell ref="U1:V1"/>
  </mergeCell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215967"/>
  </sheetPr>
  <dimension ref="A1:M23"/>
  <sheetViews>
    <sheetView workbookViewId="0">
      <selection activeCell="D6" sqref="D6"/>
    </sheetView>
  </sheetViews>
  <sheetFormatPr defaultRowHeight="14.4"/>
  <cols>
    <col min="1" max="1" width="27.6640625" customWidth="1"/>
    <col min="2" max="3" width="4.6640625" customWidth="1"/>
    <col min="4" max="4" width="41.6640625" customWidth="1"/>
    <col min="5" max="5" width="20.6640625" customWidth="1"/>
    <col min="6" max="6" width="24.44140625" customWidth="1"/>
    <col min="9" max="9" width="8.88671875" style="163"/>
    <col min="10" max="11" width="9.88671875" bestFit="1" customWidth="1"/>
  </cols>
  <sheetData>
    <row r="1" spans="1:13">
      <c r="C1" s="164" t="s">
        <v>56</v>
      </c>
      <c r="D1" s="164" t="s">
        <v>60</v>
      </c>
      <c r="E1" s="164" t="s">
        <v>220</v>
      </c>
      <c r="F1" s="164" t="s">
        <v>57</v>
      </c>
      <c r="G1" s="164" t="s">
        <v>59</v>
      </c>
      <c r="H1" s="164" t="s">
        <v>58</v>
      </c>
      <c r="I1" s="164" t="s">
        <v>195</v>
      </c>
      <c r="J1" s="164" t="s">
        <v>132</v>
      </c>
      <c r="K1" s="164" t="s">
        <v>192</v>
      </c>
      <c r="L1" s="164" t="s">
        <v>194</v>
      </c>
      <c r="M1" s="164"/>
    </row>
    <row r="2" spans="1:13">
      <c r="B2" s="163">
        <f ca="1">IF(COUNTIF(D3:D10,"?*"),1,0)</f>
        <v>0</v>
      </c>
      <c r="E2" s="162"/>
      <c r="F2" s="162" t="s">
        <v>499</v>
      </c>
      <c r="J2" s="164" t="e">
        <f>SUM(J3:J10)</f>
        <v>#REF!</v>
      </c>
      <c r="K2" s="164" t="e">
        <f>SUM(K3:K10)</f>
        <v>#REF!</v>
      </c>
    </row>
    <row r="3" spans="1:13">
      <c r="A3" t="str">
        <f>Задача_ТипСокр</f>
        <v>Вентилятор</v>
      </c>
      <c r="B3" s="163">
        <f t="shared" ref="B3:B10" ca="1" si="0">B2+IF(AND(D3&gt;"",D3&lt;&gt;"---"),1,0)</f>
        <v>0</v>
      </c>
      <c r="C3" s="163">
        <f ca="1">IFERROR(F2+0,0)+IF(B3&lt;&gt;B2,1,0)</f>
        <v>0</v>
      </c>
      <c r="D3" t="str">
        <f ca="1">IFERROR(IF(Задача_Вентилятор,OFFSET(Оборудование_Вентиляторы,Расчет_ВентиляторРезультат+1,0),""),"")</f>
        <v/>
      </c>
      <c r="E3" s="163" t="e">
        <f ca="1">MATCH(D3,ПП_Оборудование!A$1:A$513,0)-1</f>
        <v>#N/A</v>
      </c>
      <c r="F3" t="str">
        <f t="shared" ref="F3:F10" ca="1" si="1">IFERROR(CONCATENATE(A3,CHAR(10),OFFSET(Оборудование_Вентиляторы,$E3,3)),"")</f>
        <v/>
      </c>
      <c r="G3" t="str">
        <f ca="1">IFERROR(OFFSET(Оборудование_Вентиляторы,$E3,4),"")</f>
        <v/>
      </c>
      <c r="H3" s="163">
        <v>1</v>
      </c>
      <c r="I3" s="341" t="e">
        <f t="shared" ref="I3:I10" ca="1" si="2">IF(L3=0,Скидка_Оборудование,Скидка_Автоматика)</f>
        <v>#REF!</v>
      </c>
      <c r="J3" s="199" t="e">
        <f>#REF!</f>
        <v>#REF!</v>
      </c>
      <c r="K3" s="163" t="e">
        <f>#REF!</f>
        <v>#REF!</v>
      </c>
      <c r="L3" s="163">
        <f ca="1">IFERROR(MATCH(D3,#REF!,0),0)</f>
        <v>0</v>
      </c>
    </row>
    <row r="4" spans="1:13">
      <c r="A4" t="s">
        <v>306</v>
      </c>
      <c r="B4" s="163">
        <f t="shared" ca="1" si="0"/>
        <v>0</v>
      </c>
      <c r="C4" s="163">
        <f t="shared" ref="C4:C10" ca="1" si="3">IFERROR(C3+0,0)+IF(B4&lt;&gt;B3,1,0)</f>
        <v>0</v>
      </c>
      <c r="D4" t="str">
        <f ca="1">IFERROR(IF(AND(Задача_Вентилятор,Задача_ВентиляторГибкиеВставки),OFFSET(Оборудование_ГибкиеВставки,Приток_ВентиляторГибкиеВставкиРезультат+1,0),""),"")</f>
        <v/>
      </c>
      <c r="E4" s="163" t="e">
        <f ca="1">MATCH(D4,ПП_Оборудование!A$1:A$513,0)-1</f>
        <v>#N/A</v>
      </c>
      <c r="F4" t="str">
        <f t="shared" ca="1" si="1"/>
        <v/>
      </c>
      <c r="G4" t="str">
        <f t="shared" ref="G4" ca="1" si="4">IFERROR(OFFSET(Оборудование_Вентиляторы,$E4,4),"")</f>
        <v/>
      </c>
      <c r="H4" s="163">
        <v>2</v>
      </c>
      <c r="I4" s="341" t="e">
        <f t="shared" ca="1" si="2"/>
        <v>#REF!</v>
      </c>
      <c r="J4" s="163"/>
      <c r="K4" s="163"/>
      <c r="L4" s="163">
        <f ca="1">IFERROR(MATCH(D4,#REF!,0),0)</f>
        <v>0</v>
      </c>
    </row>
    <row r="5" spans="1:13">
      <c r="A5" t="s">
        <v>47</v>
      </c>
      <c r="B5" s="163">
        <f t="shared" ca="1" si="0"/>
        <v>0</v>
      </c>
      <c r="C5" s="163">
        <f t="shared" ca="1" si="3"/>
        <v>0</v>
      </c>
      <c r="D5" t="str">
        <f ca="1">IFERROR(IF(Задача_Заслонка,OFFSET(Оборудование_Заслонки,Расчет_ЗаслонкаРезультат+1,0),""),"")</f>
        <v/>
      </c>
      <c r="E5" s="163" t="e">
        <f ca="1">MATCH(D5,ПП_Оборудование!A$1:A$513,0)-1</f>
        <v>#N/A</v>
      </c>
      <c r="F5" t="str">
        <f t="shared" ca="1" si="1"/>
        <v/>
      </c>
      <c r="G5" t="str">
        <f ca="1">IFERROR(OFFSET(Оборудование_Вентиляторы,$E5,4),"")</f>
        <v/>
      </c>
      <c r="H5" s="163">
        <v>1</v>
      </c>
      <c r="I5" s="341" t="e">
        <f t="shared" ca="1" si="2"/>
        <v>#REF!</v>
      </c>
      <c r="J5" s="199" t="e">
        <f>#REF!</f>
        <v>#REF!</v>
      </c>
      <c r="K5" s="163" t="e">
        <f>#REF!</f>
        <v>#REF!</v>
      </c>
      <c r="L5" s="163">
        <f ca="1">IFERROR(MATCH(D5,#REF!,0),0)</f>
        <v>0</v>
      </c>
    </row>
    <row r="6" spans="1:13">
      <c r="A6" t="s">
        <v>50</v>
      </c>
      <c r="B6" s="163">
        <f t="shared" ca="1" si="0"/>
        <v>0</v>
      </c>
      <c r="C6" s="163">
        <f t="shared" ca="1" si="3"/>
        <v>0</v>
      </c>
      <c r="D6" t="str">
        <f ca="1">IFERROR(IF(Задача_Фильтр,OFFSET(Оборудование_Фильтры,Расчет_ФильтрРезультат+1,0),""),"")</f>
        <v/>
      </c>
      <c r="E6" s="163" t="e">
        <f ca="1">MATCH(D6,ПП_Оборудование!A$1:A$513,0)-1</f>
        <v>#N/A</v>
      </c>
      <c r="F6" t="str">
        <f t="shared" ca="1" si="1"/>
        <v/>
      </c>
      <c r="G6" t="str">
        <f ca="1">IFERROR(OFFSET(Оборудование_Вентиляторы,$E6,4),"")</f>
        <v/>
      </c>
      <c r="H6" s="163">
        <v>1</v>
      </c>
      <c r="I6" s="341" t="e">
        <f t="shared" ca="1" si="2"/>
        <v>#REF!</v>
      </c>
      <c r="J6" s="199" t="e">
        <f>#REF!</f>
        <v>#REF!</v>
      </c>
      <c r="K6" s="163" t="e">
        <f>#REF!</f>
        <v>#REF!</v>
      </c>
      <c r="L6" s="163">
        <f ca="1">IFERROR(MATCH(D6,#REF!,0),0)</f>
        <v>0</v>
      </c>
    </row>
    <row r="7" spans="1:13">
      <c r="A7" t="s">
        <v>53</v>
      </c>
      <c r="B7" s="163">
        <f t="shared" ca="1" si="0"/>
        <v>0</v>
      </c>
      <c r="C7" s="163">
        <f t="shared" ca="1" si="3"/>
        <v>0</v>
      </c>
      <c r="D7" t="str">
        <f ca="1">IFERROR(IF(Задача_Рекуператор,OFFSET(Оборудование_Рекуператоры,Расчет_РекуператорРезультат+1,0),""),"")</f>
        <v/>
      </c>
      <c r="E7" s="163" t="e">
        <f ca="1">MATCH(D7,ПП_Оборудование!A$1:A$513,0)-1</f>
        <v>#N/A</v>
      </c>
      <c r="F7" t="str">
        <f t="shared" ca="1" si="1"/>
        <v/>
      </c>
      <c r="G7" t="str">
        <f ca="1">IFERROR(OFFSET(Оборудование_Вентиляторы,$E7,4),"")</f>
        <v/>
      </c>
      <c r="H7" s="163">
        <v>1</v>
      </c>
      <c r="I7" s="341" t="e">
        <f t="shared" ca="1" si="2"/>
        <v>#REF!</v>
      </c>
      <c r="J7" s="199" t="e">
        <f>#REF!</f>
        <v>#REF!</v>
      </c>
      <c r="K7" s="163" t="e">
        <f>#REF!</f>
        <v>#REF!</v>
      </c>
      <c r="L7" s="163">
        <f ca="1">IFERROR(MATCH(D7,#REF!,0),0)</f>
        <v>0</v>
      </c>
    </row>
    <row r="8" spans="1:13">
      <c r="A8" t="s">
        <v>54</v>
      </c>
      <c r="B8" s="163">
        <f t="shared" ca="1" si="0"/>
        <v>0</v>
      </c>
      <c r="C8" s="163">
        <f t="shared" ca="1" si="3"/>
        <v>0</v>
      </c>
      <c r="D8" t="str">
        <f ca="1">IFERROR(IF(Задача_Нагреватель,OFFSET(Оборудование_Нагреватели,Расчет_НагревательРезультат+1,0),""),"")</f>
        <v/>
      </c>
      <c r="E8" s="163" t="e">
        <f ca="1">MATCH(D8,ПП_Оборудование!A$1:A$513,0)-1</f>
        <v>#N/A</v>
      </c>
      <c r="F8" t="str">
        <f t="shared" ca="1" si="1"/>
        <v/>
      </c>
      <c r="G8" t="str">
        <f ca="1">IFERROR(OFFSET(Оборудование_Вентиляторы,$E8,4),"")</f>
        <v/>
      </c>
      <c r="H8" s="163">
        <v>1</v>
      </c>
      <c r="I8" s="341" t="e">
        <f t="shared" ca="1" si="2"/>
        <v>#REF!</v>
      </c>
      <c r="J8" s="199" t="e">
        <f>#REF!</f>
        <v>#REF!</v>
      </c>
      <c r="K8" s="163" t="e">
        <f>#REF!</f>
        <v>#REF!</v>
      </c>
      <c r="L8" s="163">
        <f ca="1">IFERROR(MATCH(D8,#REF!,0),0)</f>
        <v>0</v>
      </c>
    </row>
    <row r="9" spans="1:13">
      <c r="A9" t="s">
        <v>55</v>
      </c>
      <c r="B9" s="163">
        <f t="shared" ca="1" si="0"/>
        <v>0</v>
      </c>
      <c r="C9" s="163">
        <f t="shared" ca="1" si="3"/>
        <v>0</v>
      </c>
      <c r="E9" s="163" t="e">
        <f>MATCH(D9,ПП_Оборудование!A$1:A$513,0)-1</f>
        <v>#N/A</v>
      </c>
      <c r="F9" t="str">
        <f t="shared" ca="1" si="1"/>
        <v/>
      </c>
      <c r="H9" s="163">
        <v>1</v>
      </c>
      <c r="I9" s="341" t="e">
        <f t="shared" si="2"/>
        <v>#REF!</v>
      </c>
      <c r="J9" s="163"/>
      <c r="K9" s="163"/>
      <c r="L9" s="163">
        <f>IFERROR(MATCH(D9,#REF!,0),0)</f>
        <v>0</v>
      </c>
    </row>
    <row r="10" spans="1:13">
      <c r="A10" t="s">
        <v>19</v>
      </c>
      <c r="B10" s="163">
        <f t="shared" ca="1" si="0"/>
        <v>0</v>
      </c>
      <c r="C10" s="163">
        <f t="shared" ca="1" si="3"/>
        <v>0</v>
      </c>
      <c r="D10" t="str">
        <f ca="1">IFERROR(IF(Задача_Шумоглушитель,OFFSET(Оборудование_Шумоглушители,Расчет_ШумоглушительРезультат+1,0),""),"")</f>
        <v/>
      </c>
      <c r="E10" s="163" t="e">
        <f ca="1">MATCH(D10,ПП_Оборудование!A$1:A$513,0)-1</f>
        <v>#N/A</v>
      </c>
      <c r="F10" t="str">
        <f t="shared" ca="1" si="1"/>
        <v/>
      </c>
      <c r="G10" t="str">
        <f ca="1">IFERROR(OFFSET(Оборудование_Вентиляторы,$E10,4),"")</f>
        <v/>
      </c>
      <c r="H10" s="163">
        <v>1</v>
      </c>
      <c r="I10" s="341" t="e">
        <f t="shared" ca="1" si="2"/>
        <v>#REF!</v>
      </c>
      <c r="J10" s="199" t="e">
        <f>#REF!</f>
        <v>#REF!</v>
      </c>
      <c r="K10" s="163" t="e">
        <f>#REF!</f>
        <v>#REF!</v>
      </c>
      <c r="L10" s="163">
        <f ca="1">IFERROR(MATCH(D10,#REF!,0),0)</f>
        <v>0</v>
      </c>
    </row>
    <row r="11" spans="1:13">
      <c r="B11" s="163">
        <f ca="1">B10+IF(COUNTIF(D12:D16,"?*"),1,0)</f>
        <v>0</v>
      </c>
      <c r="E11" s="162"/>
      <c r="F11" s="162" t="s">
        <v>38</v>
      </c>
      <c r="J11" s="342" t="e">
        <f>SUM(J12:J16,J7)</f>
        <v>#REF!</v>
      </c>
      <c r="K11" s="164" t="e">
        <f>SUM(K12:K16)</f>
        <v>#REF!</v>
      </c>
      <c r="L11" s="163">
        <f>IFERROR(MATCH(D11,#REF!,0),0)</f>
        <v>0</v>
      </c>
    </row>
    <row r="12" spans="1:13">
      <c r="A12" t="s">
        <v>41</v>
      </c>
      <c r="B12" s="163">
        <f t="shared" ref="B12:B23" ca="1" si="5">B11+IF(AND(D12&gt;"",D12&lt;&gt;"---"),1,0)</f>
        <v>0</v>
      </c>
      <c r="C12" s="163">
        <f ca="1">IFERROR(F11+0,C10)+IF(B12&lt;&gt;B11,1,0)</f>
        <v>0</v>
      </c>
      <c r="D12" t="str">
        <f ca="1">IFERROR(IF(Вытяжка_Вентилятор,OFFSET(Оборудование_Вентиляторы,Вытяжка_ВентиляторРезультат+1,0),""),"")</f>
        <v/>
      </c>
      <c r="E12" s="163" t="e">
        <f ca="1">MATCH(D12,ПП_Оборудование!A$1:A$513,0)-1</f>
        <v>#N/A</v>
      </c>
      <c r="F12" t="str">
        <f ca="1">IFERROR(CONCATENATE(A12,CHAR(10),OFFSET(Оборудование_Вентиляторы,$E12,3)),"")</f>
        <v/>
      </c>
      <c r="G12" t="str">
        <f ca="1">IFERROR(OFFSET(Оборудование_Вентиляторы,$E12,4),"")</f>
        <v/>
      </c>
      <c r="H12" s="163">
        <v>1</v>
      </c>
      <c r="I12" s="341" t="e">
        <f ca="1">IF(L12=0,Скидка_Оборудование,Скидка_Автоматика)</f>
        <v>#REF!</v>
      </c>
      <c r="J12" s="199" t="e">
        <f>#REF!</f>
        <v>#REF!</v>
      </c>
      <c r="K12" s="163" t="e">
        <f>#REF!</f>
        <v>#REF!</v>
      </c>
      <c r="L12" s="163">
        <f ca="1">IFERROR(MATCH(D12,#REF!,0),0)</f>
        <v>0</v>
      </c>
    </row>
    <row r="13" spans="1:13">
      <c r="A13" t="s">
        <v>306</v>
      </c>
      <c r="B13" s="163">
        <f t="shared" ca="1" si="5"/>
        <v>0</v>
      </c>
      <c r="C13" s="163">
        <f ca="1">IFERROR(C12+0,F11)+IF(B13&lt;&gt;B12,1,0)</f>
        <v>0</v>
      </c>
      <c r="D13" t="str">
        <f ca="1">IFERROR(IF(AND(Вытяжка_Вентилятор,Вытяжка_ВентиляторГибкиеВставки),OFFSET(Оборудование_ГибкиеВставки,Вытяжка_ВентиляторГибкиеВставкиРезультат+1,0),""),"")</f>
        <v/>
      </c>
      <c r="E13" s="163" t="e">
        <f ca="1">MATCH(D13,ПП_Оборудование!A$1:A$513,0)-1</f>
        <v>#N/A</v>
      </c>
      <c r="F13" t="str">
        <f ca="1">IFERROR(CONCATENATE(A13,CHAR(10),OFFSET(Оборудование_Вентиляторы,$E13,3)),"")</f>
        <v/>
      </c>
      <c r="G13" t="str">
        <f ca="1">IFERROR(OFFSET(Оборудование_Вентиляторы,$E13,4),"")</f>
        <v/>
      </c>
      <c r="H13" s="163">
        <v>2</v>
      </c>
      <c r="I13" s="341" t="e">
        <f ca="1">IF(L13=0,Скидка_Оборудование,Скидка_Автоматика)</f>
        <v>#REF!</v>
      </c>
      <c r="J13" s="163" t="str">
        <f ca="1">IFERROR(IF(AND(Вытяжка_Вентилятор,Вытяжка_ВентиляторГибкиеВставки),IF(Вытяжка_ВентиляторГибкиеВставкиРезультат="+","",OFFSET(Оборудование_ГибкиеВставки,Вытяжка_ВентиляторГибкиеВставкиРезультат+1,8)),"")*H13,"")</f>
        <v/>
      </c>
      <c r="K13" s="163" t="str">
        <f ca="1">IFERROR(IF(AND(Вытяжка_Вентилятор,Вытяжка_ВентиляторГибкиеВставки),IF(Вытяжка_ВентиляторГибкиеВставкиРезультат="+","",OFFSET(Оборудование_ГибкиеВставки,Вытяжка_ВентиляторГибкиеВставкиРезультат+1,9)),"")*H13,"")</f>
        <v/>
      </c>
      <c r="L13" s="163">
        <f ca="1">IFERROR(MATCH(D13,#REF!,0),0)</f>
        <v>0</v>
      </c>
    </row>
    <row r="14" spans="1:13">
      <c r="A14" t="s">
        <v>47</v>
      </c>
      <c r="B14" s="163">
        <f t="shared" ca="1" si="5"/>
        <v>0</v>
      </c>
      <c r="C14" s="163">
        <f ca="1">IFERROR(C13+0,C12)+IF(B14&lt;&gt;B13,1,0)</f>
        <v>0</v>
      </c>
      <c r="D14" t="str">
        <f ca="1">IFERROR(IF(Вытяжка_Заслонка,OFFSET(Оборудование_Заслонки,Вытяжка_ЗаслонкаРезультат+1,0),""),"")</f>
        <v/>
      </c>
      <c r="E14" s="163" t="e">
        <f ca="1">MATCH(D14,ПП_Оборудование!A$1:A$513,0)-1</f>
        <v>#N/A</v>
      </c>
      <c r="F14" t="str">
        <f ca="1">IFERROR(CONCATENATE(A14,CHAR(10),OFFSET(Оборудование_Вентиляторы,$E14,3)),"")</f>
        <v/>
      </c>
      <c r="G14" t="str">
        <f ca="1">IFERROR(OFFSET(Оборудование_Вентиляторы,$E14,4),"")</f>
        <v/>
      </c>
      <c r="H14" s="163">
        <v>1</v>
      </c>
      <c r="I14" s="341" t="e">
        <f ca="1">IF(L14=0,Скидка_Оборудование,Скидка_Автоматика)</f>
        <v>#REF!</v>
      </c>
      <c r="J14" s="199" t="e">
        <f>#REF!</f>
        <v>#REF!</v>
      </c>
      <c r="K14" s="163" t="e">
        <f>#REF!</f>
        <v>#REF!</v>
      </c>
      <c r="L14" s="163">
        <f ca="1">IFERROR(MATCH(D14,#REF!,0),0)</f>
        <v>0</v>
      </c>
    </row>
    <row r="15" spans="1:13">
      <c r="A15" t="s">
        <v>50</v>
      </c>
      <c r="B15" s="163">
        <f t="shared" ca="1" si="5"/>
        <v>0</v>
      </c>
      <c r="C15" s="163">
        <f ca="1">IFERROR(C14+0,C13)+IF(B15&lt;&gt;B14,1,0)</f>
        <v>0</v>
      </c>
      <c r="D15" t="str">
        <f ca="1">IFERROR(IF(Вытяжка_Фильтр,OFFSET(Оборудование_Фильтры,Вытяжка_ФильтрРезультат+1,0),""),"")</f>
        <v/>
      </c>
      <c r="E15" s="163" t="e">
        <f ca="1">MATCH(D15,ПП_Оборудование!A$1:A$513,0)-1</f>
        <v>#N/A</v>
      </c>
      <c r="F15" t="str">
        <f ca="1">IFERROR(CONCATENATE(A15,CHAR(10),OFFSET(Оборудование_Вентиляторы,$E15,3)),"")</f>
        <v/>
      </c>
      <c r="G15" t="str">
        <f ca="1">IFERROR(OFFSET(Оборудование_Вентиляторы,$E15,4),"")</f>
        <v/>
      </c>
      <c r="H15" s="163">
        <v>1</v>
      </c>
      <c r="I15" s="341" t="e">
        <f ca="1">IF(L15=0,Скидка_Оборудование,Скидка_Автоматика)</f>
        <v>#REF!</v>
      </c>
      <c r="J15" s="199" t="e">
        <f>#REF!</f>
        <v>#REF!</v>
      </c>
      <c r="K15" s="163" t="e">
        <f>#REF!</f>
        <v>#REF!</v>
      </c>
      <c r="L15" s="163">
        <f ca="1">IFERROR(MATCH(D15,#REF!,0),0)</f>
        <v>0</v>
      </c>
    </row>
    <row r="16" spans="1:13">
      <c r="A16" t="s">
        <v>19</v>
      </c>
      <c r="B16" s="163">
        <f t="shared" ca="1" si="5"/>
        <v>0</v>
      </c>
      <c r="C16" s="163">
        <f ca="1">IFERROR(C15+0,C14)+IF(B16&lt;&gt;B15,1,0)</f>
        <v>0</v>
      </c>
      <c r="D16" t="str">
        <f ca="1">IFERROR(IF(Вытяжка_Шумоглушитель,OFFSET(Оборудование_Шумоглушители,Вытяжка_ШумоглушительРезультат+1,0),""),"")</f>
        <v/>
      </c>
      <c r="E16" s="163" t="e">
        <f ca="1">MATCH(D16,ПП_Оборудование!A$1:A$513,0)-1</f>
        <v>#N/A</v>
      </c>
      <c r="F16" t="str">
        <f ca="1">IFERROR(CONCATENATE(A16,CHAR(10),OFFSET(Оборудование_Вентиляторы,$E16,3)),"")</f>
        <v/>
      </c>
      <c r="G16" t="str">
        <f ca="1">IFERROR(OFFSET(Оборудование_Вентиляторы,$E16,4),"")</f>
        <v/>
      </c>
      <c r="H16" s="163">
        <v>1</v>
      </c>
      <c r="I16" s="341" t="e">
        <f ca="1">IF(L16=0,Скидка_Оборудование,Скидка_Автоматика)</f>
        <v>#REF!</v>
      </c>
      <c r="J16" s="199" t="e">
        <f>#REF!</f>
        <v>#REF!</v>
      </c>
      <c r="K16" s="163" t="e">
        <f>#REF!</f>
        <v>#REF!</v>
      </c>
      <c r="L16" s="163">
        <f ca="1">IFERROR(MATCH(D16,#REF!,0),0)</f>
        <v>0</v>
      </c>
    </row>
    <row r="17" spans="1:12">
      <c r="B17" s="163">
        <f ca="1">B16+IF(COUNTIF(D18:D23,"?*"),1,0)</f>
        <v>0</v>
      </c>
      <c r="E17" s="162"/>
      <c r="F17" s="162" t="s">
        <v>193</v>
      </c>
      <c r="J17" s="163"/>
      <c r="K17" s="163"/>
      <c r="L17" s="163">
        <f>IFERROR(MATCH(D17,#REF!,0),0)</f>
        <v>0</v>
      </c>
    </row>
    <row r="18" spans="1:12">
      <c r="A18" t="s">
        <v>307</v>
      </c>
      <c r="B18" s="163">
        <f t="shared" ca="1" si="5"/>
        <v>0</v>
      </c>
      <c r="C18" s="163">
        <f ca="1">IFERROR(F17+0,C16)+IF(B18&lt;&gt;B17,1,0)</f>
        <v>0</v>
      </c>
      <c r="D18" t="str">
        <f ca="1">IFERROR(IF(AND(Задача_Вентилятор,Приток_ВентиляторАвтоматика),OFFSET(Оборудование_РегуляторыСкорости,Приток_ВентиляторАвтоматикаРезультат+1,0),""),"")</f>
        <v/>
      </c>
      <c r="E18" s="163" t="e">
        <f ca="1">MATCH(D18,ПП_Оборудование!A$1:A$513,0)-1</f>
        <v>#N/A</v>
      </c>
      <c r="F18" t="str">
        <f t="shared" ref="F18:F23" ca="1" si="6">IFERROR(CONCATENATE(A18,CHAR(10),OFFSET(Оборудование_Вентиляторы,$E18,3)),"")</f>
        <v/>
      </c>
      <c r="G18" t="str">
        <f t="shared" ref="G18:G23" ca="1" si="7">IFERROR(OFFSET(Оборудование_Вентиляторы,$E18,4),"")</f>
        <v/>
      </c>
      <c r="H18" s="163">
        <f ca="1">1+IFERROR(IF(AND(Вытяжка_Вентилятор,Приток_ВентиляторАвтоматикаРезультат=Вытяжка_ВентиляторАвтоматикаРезультат),1,0),0)</f>
        <v>1</v>
      </c>
      <c r="I18" s="341" t="e">
        <f t="shared" ref="I18:I23" ca="1" si="8">IF(L18=0,Скидка_Оборудование,Скидка_Автоматика)</f>
        <v>#REF!</v>
      </c>
      <c r="J18" s="163"/>
      <c r="K18" s="163"/>
      <c r="L18" s="163">
        <f ca="1">IFERROR(MATCH(D18,#REF!,0),0)</f>
        <v>0</v>
      </c>
    </row>
    <row r="19" spans="1:12">
      <c r="A19" t="s">
        <v>307</v>
      </c>
      <c r="B19" s="163">
        <f t="shared" ca="1" si="5"/>
        <v>0</v>
      </c>
      <c r="C19" s="163">
        <f ca="1">IFERROR(C18+0,C17)+IF(B19&lt;&gt;B18,1,0)</f>
        <v>0</v>
      </c>
      <c r="D19" t="str">
        <f ca="1">IFERROR(IF(AND(Задача_Вентилятор,Приток_ВентиляторАвтоматикаРезультат=Вытяжка_ВентиляторАвтоматикаРезультат),"",IF(AND(Вытяжка_Вентилятор,Вытяжка_ВентиляторАвтоматика),OFFSET(Оборудование_РегуляторыСкорости,Вытяжка_ВентиляторАвтоматикаРезультат+1,0),"")),"")</f>
        <v/>
      </c>
      <c r="E19" s="163" t="e">
        <f ca="1">MATCH(D19,ПП_Оборудование!A$1:A$513,0)-1</f>
        <v>#N/A</v>
      </c>
      <c r="F19" t="str">
        <f t="shared" ca="1" si="6"/>
        <v/>
      </c>
      <c r="G19" t="str">
        <f t="shared" ca="1" si="7"/>
        <v/>
      </c>
      <c r="H19" s="163">
        <v>1</v>
      </c>
      <c r="I19" s="341" t="e">
        <f t="shared" ca="1" si="8"/>
        <v>#REF!</v>
      </c>
      <c r="L19" s="163">
        <f ca="1">IFERROR(MATCH(D19,#REF!,0),0)</f>
        <v>0</v>
      </c>
    </row>
    <row r="20" spans="1:12">
      <c r="B20" s="163">
        <f t="shared" ca="1" si="5"/>
        <v>0</v>
      </c>
      <c r="C20" s="163">
        <f ca="1">IFERROR(C19+0,C18)+IF(B20&lt;&gt;B19,1,0)</f>
        <v>0</v>
      </c>
      <c r="E20" s="163" t="e">
        <f>MATCH(D20,ПП_Оборудование!A$1:A$513,0)-1</f>
        <v>#N/A</v>
      </c>
      <c r="F20" t="str">
        <f t="shared" ca="1" si="6"/>
        <v/>
      </c>
      <c r="G20" t="str">
        <f t="shared" ca="1" si="7"/>
        <v/>
      </c>
      <c r="H20" s="163">
        <v>1</v>
      </c>
      <c r="I20" s="341" t="e">
        <f t="shared" si="8"/>
        <v>#REF!</v>
      </c>
      <c r="L20" s="163">
        <f>IFERROR(MATCH(D20,#REF!,0),0)</f>
        <v>0</v>
      </c>
    </row>
    <row r="21" spans="1:12">
      <c r="B21" s="163">
        <f t="shared" ca="1" si="5"/>
        <v>0</v>
      </c>
      <c r="C21" s="163">
        <f ca="1">IFERROR(C20+0,C19)+IF(B21&lt;&gt;B20,1,0)</f>
        <v>0</v>
      </c>
      <c r="E21" s="163" t="e">
        <f>MATCH(D21,ПП_Оборудование!A$1:A$513,0)-1</f>
        <v>#N/A</v>
      </c>
      <c r="F21" t="str">
        <f t="shared" ca="1" si="6"/>
        <v/>
      </c>
      <c r="G21" t="str">
        <f t="shared" ca="1" si="7"/>
        <v/>
      </c>
      <c r="H21" s="163">
        <v>1</v>
      </c>
      <c r="I21" s="341" t="e">
        <f t="shared" si="8"/>
        <v>#REF!</v>
      </c>
      <c r="L21" s="163">
        <f>IFERROR(MATCH(D21,#REF!,0),0)</f>
        <v>0</v>
      </c>
    </row>
    <row r="22" spans="1:12">
      <c r="B22" s="163">
        <f t="shared" ca="1" si="5"/>
        <v>0</v>
      </c>
      <c r="C22" s="163">
        <f ca="1">IFERROR(C21+0,C20)+IF(B22&lt;&gt;B21,1,0)</f>
        <v>0</v>
      </c>
      <c r="E22" s="163" t="e">
        <f>MATCH(D22,ПП_Оборудование!A$1:A$513,0)-1</f>
        <v>#N/A</v>
      </c>
      <c r="F22" t="str">
        <f t="shared" ca="1" si="6"/>
        <v/>
      </c>
      <c r="G22" t="str">
        <f t="shared" ca="1" si="7"/>
        <v/>
      </c>
      <c r="H22" s="163">
        <v>1</v>
      </c>
      <c r="I22" s="341" t="e">
        <f t="shared" si="8"/>
        <v>#REF!</v>
      </c>
      <c r="L22" s="163">
        <f>IFERROR(MATCH(D22,#REF!,0),0)</f>
        <v>0</v>
      </c>
    </row>
    <row r="23" spans="1:12">
      <c r="B23" s="163">
        <f t="shared" ca="1" si="5"/>
        <v>0</v>
      </c>
      <c r="C23" s="163">
        <f ca="1">IFERROR(C22+0,C21)+IF(B23&lt;&gt;B22,1,0)</f>
        <v>0</v>
      </c>
      <c r="E23" s="163" t="e">
        <f>MATCH(D23,ПП_Оборудование!A$1:A$513,0)-1</f>
        <v>#N/A</v>
      </c>
      <c r="F23" t="str">
        <f t="shared" ca="1" si="6"/>
        <v/>
      </c>
      <c r="G23" t="str">
        <f t="shared" ca="1" si="7"/>
        <v/>
      </c>
      <c r="H23" s="163">
        <v>1</v>
      </c>
      <c r="I23" s="341" t="e">
        <f t="shared" si="8"/>
        <v>#REF!</v>
      </c>
      <c r="L23" s="163">
        <f>IFERROR(MATCH(D23,#REF!,0),0)</f>
        <v>0</v>
      </c>
    </row>
  </sheetData>
  <customSheetViews>
    <customSheetView guid="{0C99ABE2-728B-4C30-A993-CD651C64FAAE}" state="hidden">
      <selection activeCell="D6" sqref="D6"/>
      <pageMargins left="0.7" right="0.7" top="0.75" bottom="0.75" header="0.3" footer="0.3"/>
      <pageSetup paperSize="9" orientation="portrait" r:id="rId1"/>
    </customSheetView>
    <customSheetView guid="{2BA56ECA-30F6-456D-AB26-04DD1698A098}" state="hidden">
      <selection activeCell="D6" sqref="D6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215967"/>
  </sheetPr>
  <dimension ref="A1:F76"/>
  <sheetViews>
    <sheetView showGridLines="0" workbookViewId="0">
      <selection activeCell="F10" sqref="F10"/>
    </sheetView>
  </sheetViews>
  <sheetFormatPr defaultColWidth="8.88671875" defaultRowHeight="14.4"/>
  <cols>
    <col min="1" max="1" width="45.6640625" style="7" customWidth="1"/>
    <col min="2" max="6" width="18.6640625" style="7" customWidth="1"/>
    <col min="7" max="16384" width="8.88671875" style="7"/>
  </cols>
  <sheetData>
    <row r="1" spans="1:6">
      <c r="A1" s="397" t="s">
        <v>496</v>
      </c>
      <c r="B1" s="398">
        <v>1</v>
      </c>
      <c r="C1" s="8"/>
    </row>
    <row r="2" spans="1:6" s="269" customFormat="1" ht="14.4" customHeight="1">
      <c r="A2" s="399" t="s">
        <v>497</v>
      </c>
      <c r="B2" s="400" t="str">
        <f>CHOOSE(Система_Тип,"круглая приточная канальная сборка","прямоугольная приточная канальная сборка","кухонный вытяжной вентилятор",Значение_NA,"приточная компактная установка",Значение_NA,Значение_NA,Значение_NA)</f>
        <v>круглая приточная канальная сборка</v>
      </c>
      <c r="C2" s="515" t="str">
        <f>CHOOSE(Система_Тип,"круглая приточная канальная сборка","прямоугольная приточная канальная сборка","кухонный вытяжной вентилятор","крышный вытяжной вентилятор","приточная компактная установка","подвесная компактная приточно-вытяжная установка","вертикальная компактная приточно-вытяжная установка","горизонтальная компактная приточно-вытяжная установка")</f>
        <v>круглая приточная канальная сборка</v>
      </c>
    </row>
    <row r="3" spans="1:6" s="269" customFormat="1" ht="14.4" customHeight="1">
      <c r="A3" s="399" t="s">
        <v>498</v>
      </c>
      <c r="B3" s="400" t="str">
        <f>CHOOSE(Система_Тип,"DUCT_C","DUCT_T","KITCHEN","ROOF","COMPACT_S","COMPACT_P","COMPACT_V","COMPACT_H")</f>
        <v>DUCT_C</v>
      </c>
      <c r="C3" s="9"/>
    </row>
    <row r="4" spans="1:6" s="269" customFormat="1" ht="14.4" customHeight="1">
      <c r="A4" s="399" t="s">
        <v>596</v>
      </c>
      <c r="B4" s="400" t="str">
        <f>CHOOSE(Система_Тип,"Вентилятор","Вентилятор","Вентилятор","Вентилятор","Установка","Установка","Установка","Установка")</f>
        <v>Вентилятор</v>
      </c>
      <c r="C4" s="9"/>
    </row>
    <row r="5" spans="1:6" s="269" customFormat="1" ht="14.4" customHeight="1">
      <c r="A5" s="399" t="s">
        <v>462</v>
      </c>
      <c r="B5" s="400" t="e">
        <f>MATCH(Задача_Регион,Список_Регион,0)</f>
        <v>#REF!</v>
      </c>
      <c r="C5" s="9"/>
    </row>
    <row r="6" spans="1:6" s="269" customFormat="1" ht="14.4" customHeight="1">
      <c r="A6" s="399" t="s">
        <v>463</v>
      </c>
      <c r="B6" s="400" t="e">
        <f>VLOOKUP(Задача_Регион,Список_КлиматическаяЗона,2)</f>
        <v>#REF!</v>
      </c>
      <c r="C6" s="9"/>
    </row>
    <row r="7" spans="1:6" s="269" customFormat="1" ht="14.4" customHeight="1">
      <c r="A7" s="399" t="s">
        <v>536</v>
      </c>
      <c r="B7" s="400">
        <v>20</v>
      </c>
      <c r="C7" s="9"/>
    </row>
    <row r="8" spans="1:6" s="269" customFormat="1" ht="14.4" customHeight="1">
      <c r="A8" s="404"/>
      <c r="B8" s="405"/>
      <c r="C8" s="9"/>
    </row>
    <row r="9" spans="1:6" s="269" customFormat="1" ht="14.4" customHeight="1">
      <c r="A9" s="399" t="s">
        <v>484</v>
      </c>
      <c r="B9" s="400" t="e">
        <f>OR(Задача_Размер="",IFERROR(MATCH(Задача_Размер,Задача_РазмерСписок,0)&lt;0,TRUE))</f>
        <v>#REF!</v>
      </c>
      <c r="C9" s="526"/>
      <c r="D9" s="9"/>
      <c r="E9" s="478" t="s">
        <v>587</v>
      </c>
      <c r="F9" s="478" t="s">
        <v>599</v>
      </c>
    </row>
    <row r="10" spans="1:6" s="269" customFormat="1" ht="14.4" customHeight="1">
      <c r="A10" s="402" t="s">
        <v>487</v>
      </c>
      <c r="B10" s="401" t="e">
        <f t="shared" ref="B10:B19" ca="1" si="0">IF(OFFSET(INDIRECT(CELL("адрес",INDIRECT(CONCATENATE("Список_Размер_",Система_ТипКод)))),D10,0)=0,"",OFFSET(INDIRECT(CELL("адрес",INDIRECT(CONCATENATE("Список_Размер_",Система_ТипКод)))),D10,0))</f>
        <v>#REF!</v>
      </c>
      <c r="C10" s="527" t="s">
        <v>45</v>
      </c>
      <c r="D10" s="400">
        <v>0</v>
      </c>
      <c r="E10" s="499" t="e">
        <f>0.28*1.2*Задача_Расход*(Задача_ТемператураЦелевая-IF(AND(Задача_Рекуператор,Задача_НагревательИсточникТемпер=2), IFERROR(VLOOKUP(C10,ПП_Рекуператор!$A$8:$V$16,19,FALSE),Задача_ТемпратураНаружная),Задача_ТемпратураНаружная))/1000*(1+Задача_НагревательЗапасМощности)</f>
        <v>#REF!</v>
      </c>
      <c r="F10" s="494" t="e">
        <f>IF(AND(Задача_Рекуператор,Задача_НагревательИсточникТемпер=2), IFERROR(VLOOKUP(C10,ПП_Рекуператор!$A$8:$V$16,19,FALSE),Задача_ТемпратураНаружная),Задача_ТемпратураНаружная)</f>
        <v>#REF!</v>
      </c>
    </row>
    <row r="11" spans="1:6" s="269" customFormat="1" ht="14.4" customHeight="1">
      <c r="A11" s="403"/>
      <c r="B11" s="525" t="e">
        <f t="shared" ca="1" si="0"/>
        <v>#REF!</v>
      </c>
      <c r="C11" s="525" t="s">
        <v>139</v>
      </c>
      <c r="D11" s="400">
        <v>1</v>
      </c>
      <c r="E11" s="499" t="e">
        <f>0.28*1.2*Задача_Расход*(Задача_ТемператураЦелевая-IF(AND(Задача_Рекуператор,Задача_НагревательИсточникТемпер=2), IFERROR(VLOOKUP(C11,ПП_Рекуператор!$A$8:$V$16,19,FALSE),Задача_ТемпратураНаружная),Задача_ТемпратураНаружная))/1000*(1+Задача_НагревательЗапасМощности)</f>
        <v>#REF!</v>
      </c>
      <c r="F11" s="494" t="e">
        <f>IF(AND(Задача_Рекуператор,Задача_НагревательИсточникТемпер=2), IFERROR(VLOOKUP(C11,ПП_Рекуператор!$A$8:$V$16,19,FALSE),Задача_ТемпратураНаружная),Задача_ТемпратураНаружная)</f>
        <v>#REF!</v>
      </c>
    </row>
    <row r="12" spans="1:6" s="269" customFormat="1" ht="14.4" customHeight="1">
      <c r="A12" s="403"/>
      <c r="B12" s="525" t="e">
        <f t="shared" ca="1" si="0"/>
        <v>#REF!</v>
      </c>
      <c r="C12" s="525" t="s">
        <v>140</v>
      </c>
      <c r="D12" s="400">
        <v>2</v>
      </c>
      <c r="E12" s="499" t="e">
        <f>0.28*1.2*Задача_Расход*(Задача_ТемператураЦелевая-IF(AND(Задача_Рекуператор,Задача_НагревательИсточникТемпер=2), IFERROR(VLOOKUP(C12,ПП_Рекуператор!$A$8:$V$16,19,FALSE),Задача_ТемпратураНаружная),Задача_ТемпратураНаружная))/1000*(1+Задача_НагревательЗапасМощности)</f>
        <v>#REF!</v>
      </c>
      <c r="F12" s="494" t="e">
        <f>IF(AND(Задача_Рекуператор,Задача_НагревательИсточникТемпер=2), IFERROR(VLOOKUP(C12,ПП_Рекуператор!$A$8:$V$16,19,FALSE),Задача_ТемпратураНаружная),Задача_ТемпратураНаружная)</f>
        <v>#REF!</v>
      </c>
    </row>
    <row r="13" spans="1:6" s="269" customFormat="1" ht="14.4" customHeight="1">
      <c r="A13" s="403"/>
      <c r="B13" s="525" t="e">
        <f t="shared" ca="1" si="0"/>
        <v>#REF!</v>
      </c>
      <c r="C13" s="525" t="s">
        <v>141</v>
      </c>
      <c r="D13" s="400">
        <v>3</v>
      </c>
      <c r="E13" s="499" t="e">
        <f>0.28*1.2*Задача_Расход*(Задача_ТемператураЦелевая-IF(AND(Задача_Рекуператор,Задача_НагревательИсточникТемпер=2), IFERROR(VLOOKUP(C13,ПП_Рекуператор!$A$8:$V$16,19,FALSE),Задача_ТемпратураНаружная),Задача_ТемпратураНаружная))/1000*(1+Задача_НагревательЗапасМощности)</f>
        <v>#REF!</v>
      </c>
      <c r="F13" s="494" t="e">
        <f>IF(AND(Задача_Рекуператор,Задача_НагревательИсточникТемпер=2), IFERROR(VLOOKUP(C13,ПП_Рекуператор!$A$8:$V$16,19,FALSE),Задача_ТемпратураНаружная),Задача_ТемпратураНаружная)</f>
        <v>#REF!</v>
      </c>
    </row>
    <row r="14" spans="1:6" s="269" customFormat="1" ht="14.4" customHeight="1">
      <c r="A14" s="403"/>
      <c r="B14" s="525" t="e">
        <f t="shared" ca="1" si="0"/>
        <v>#REF!</v>
      </c>
      <c r="C14" s="525" t="s">
        <v>142</v>
      </c>
      <c r="D14" s="400">
        <v>4</v>
      </c>
      <c r="E14" s="499" t="e">
        <f>0.28*1.2*Задача_Расход*(Задача_ТемператураЦелевая-IF(AND(Задача_Рекуператор,Задача_НагревательИсточникТемпер=2), IFERROR(VLOOKUP(C14,ПП_Рекуператор!$A$8:$V$16,19,FALSE),Задача_ТемпратураНаружная),Задача_ТемпратураНаружная))/1000*(1+Задача_НагревательЗапасМощности)</f>
        <v>#REF!</v>
      </c>
      <c r="F14" s="494" t="e">
        <f>IF(AND(Задача_Рекуператор,Задача_НагревательИсточникТемпер=2), IFERROR(VLOOKUP(C14,ПП_Рекуператор!$A$8:$V$16,19,FALSE),Задача_ТемпратураНаружная),Задача_ТемпратураНаружная)</f>
        <v>#REF!</v>
      </c>
    </row>
    <row r="15" spans="1:6" s="269" customFormat="1" ht="14.4" customHeight="1">
      <c r="A15" s="403"/>
      <c r="B15" s="525" t="e">
        <f t="shared" ca="1" si="0"/>
        <v>#REF!</v>
      </c>
      <c r="C15" s="525" t="s">
        <v>143</v>
      </c>
      <c r="D15" s="400">
        <v>5</v>
      </c>
      <c r="E15" s="499" t="e">
        <f>0.28*1.2*Задача_Расход*(Задача_ТемператураЦелевая-IF(AND(Задача_Рекуператор,Задача_НагревательИсточникТемпер=2), IFERROR(VLOOKUP(C15,ПП_Рекуператор!$A$8:$V$16,19,FALSE),Задача_ТемпратураНаружная),Задача_ТемпратураНаружная))/1000*(1+Задача_НагревательЗапасМощности)</f>
        <v>#REF!</v>
      </c>
      <c r="F15" s="494" t="e">
        <f>IF(AND(Задача_Рекуператор,Задача_НагревательИсточникТемпер=2), IFERROR(VLOOKUP(C15,ПП_Рекуператор!$A$8:$V$16,19,FALSE),Задача_ТемпратураНаружная),Задача_ТемпратураНаружная)</f>
        <v>#REF!</v>
      </c>
    </row>
    <row r="16" spans="1:6" s="269" customFormat="1" ht="14.4" customHeight="1">
      <c r="A16" s="403"/>
      <c r="B16" s="525" t="e">
        <f t="shared" ca="1" si="0"/>
        <v>#REF!</v>
      </c>
      <c r="C16" s="525" t="s">
        <v>144</v>
      </c>
      <c r="D16" s="400">
        <v>6</v>
      </c>
      <c r="E16" s="499" t="e">
        <f>0.28*1.2*Задача_Расход*(Задача_ТемператураЦелевая-IF(AND(Задача_Рекуператор,Задача_НагревательИсточникТемпер=2), IFERROR(VLOOKUP(C16,ПП_Рекуператор!$A$8:$V$16,19,FALSE),Задача_ТемпратураНаружная),Задача_ТемпратураНаружная))/1000*(1+Задача_НагревательЗапасМощности)</f>
        <v>#REF!</v>
      </c>
      <c r="F16" s="494" t="e">
        <f>IF(AND(Задача_Рекуператор,Задача_НагревательИсточникТемпер=2), IFERROR(VLOOKUP(C16,ПП_Рекуператор!$A$8:$V$16,19,FALSE),Задача_ТемпратураНаружная),Задача_ТемпратураНаружная)</f>
        <v>#REF!</v>
      </c>
    </row>
    <row r="17" spans="1:6" s="269" customFormat="1" ht="14.4" customHeight="1">
      <c r="A17" s="403"/>
      <c r="B17" s="525" t="e">
        <f t="shared" ca="1" si="0"/>
        <v>#REF!</v>
      </c>
      <c r="C17" s="525" t="s">
        <v>145</v>
      </c>
      <c r="D17" s="400">
        <v>7</v>
      </c>
      <c r="E17" s="499" t="e">
        <f>0.28*1.2*Задача_Расход*(Задача_ТемператураЦелевая-IF(AND(Задача_Рекуператор,Задача_НагревательИсточникТемпер=2), IFERROR(VLOOKUP(C17,ПП_Рекуператор!$A$8:$V$16,19,FALSE),Задача_ТемпратураНаружная),Задача_ТемпратураНаружная))/1000*(1+Задача_НагревательЗапасМощности)</f>
        <v>#REF!</v>
      </c>
      <c r="F17" s="494" t="e">
        <f>IF(AND(Задача_Рекуператор,Задача_НагревательИсточникТемпер=2), IFERROR(VLOOKUP(C17,ПП_Рекуператор!$A$8:$V$16,19,FALSE),Задача_ТемпратураНаружная),Задача_ТемпратураНаружная)</f>
        <v>#REF!</v>
      </c>
    </row>
    <row r="18" spans="1:6" s="269" customFormat="1" ht="14.4" customHeight="1">
      <c r="A18" s="403"/>
      <c r="B18" s="525" t="e">
        <f t="shared" ca="1" si="0"/>
        <v>#REF!</v>
      </c>
      <c r="C18" s="525" t="s">
        <v>146</v>
      </c>
      <c r="D18" s="400">
        <v>8</v>
      </c>
      <c r="E18" s="499" t="e">
        <f>0.28*1.2*Задача_Расход*(Задача_ТемператураЦелевая-IF(AND(Задача_Рекуператор,Задача_НагревательИсточникТемпер=2), IFERROR(VLOOKUP(C18,ПП_Рекуператор!$A$8:$V$16,19,FALSE),Задача_ТемпратураНаружная),Задача_ТемпратураНаружная))/1000*(1+Задача_НагревательЗапасМощности)</f>
        <v>#REF!</v>
      </c>
      <c r="F18" s="494" t="e">
        <f>IF(AND(Задача_Рекуператор,Задача_НагревательИсточникТемпер=2), IFERROR(VLOOKUP(C18,ПП_Рекуператор!$A$8:$V$16,19,FALSE),Задача_ТемпратураНаружная),Задача_ТемпратураНаружная)</f>
        <v>#REF!</v>
      </c>
    </row>
    <row r="19" spans="1:6" s="269" customFormat="1" ht="14.4" customHeight="1">
      <c r="A19" s="403"/>
      <c r="B19" s="525" t="e">
        <f t="shared" ca="1" si="0"/>
        <v>#REF!</v>
      </c>
      <c r="C19" s="525" t="s">
        <v>147</v>
      </c>
      <c r="D19" s="400">
        <v>9</v>
      </c>
      <c r="E19" s="499" t="e">
        <f>0.28*1.2*Задача_Расход*(Задача_ТемператураЦелевая-IF(AND(Задача_Рекуператор,Задача_НагревательИсточникТемпер=2), IFERROR(VLOOKUP(C19,ПП_Рекуператор!$A$8:$V$16,19,FALSE),Задача_ТемпратураНаружная),Задача_ТемпратураНаружная))/1000*(1+Задача_НагревательЗапасМощности)</f>
        <v>#REF!</v>
      </c>
      <c r="F19" s="494" t="e">
        <f>IF(AND(Задача_Рекуператор,Задача_НагревательИсточникТемпер=2), IFERROR(VLOOKUP(C19,ПП_Рекуператор!$A$8:$V$16,19,FALSE),Задача_ТемпратураНаружная),Задача_ТемпратураНаружная)</f>
        <v>#REF!</v>
      </c>
    </row>
    <row r="20" spans="1:6">
      <c r="A20" s="8"/>
      <c r="B20" s="8"/>
      <c r="C20" s="8"/>
    </row>
    <row r="21" spans="1:6">
      <c r="A21" s="397" t="s">
        <v>494</v>
      </c>
      <c r="B21" s="398" t="e">
        <f ca="1">ПП_Свод!W3</f>
        <v>#N/A</v>
      </c>
      <c r="C21" s="8"/>
    </row>
    <row r="22" spans="1:6">
      <c r="A22" s="397" t="s">
        <v>495</v>
      </c>
      <c r="B22" s="398" t="e">
        <f ca="1">OFFSET(ПП_Свод!$C$3,ПП_Расчет!B$21,0)</f>
        <v>#N/A</v>
      </c>
      <c r="C22" s="8"/>
    </row>
    <row r="23" spans="1:6">
      <c r="A23" s="8"/>
      <c r="B23" s="8"/>
      <c r="C23" s="8"/>
    </row>
    <row r="24" spans="1:6">
      <c r="A24" s="408" t="s">
        <v>490</v>
      </c>
      <c r="B24" s="406" t="b">
        <v>1</v>
      </c>
      <c r="C24" s="11"/>
      <c r="D24" s="10"/>
    </row>
    <row r="25" spans="1:6">
      <c r="A25" s="408" t="s">
        <v>491</v>
      </c>
      <c r="B25" s="407" t="e">
        <f>#REF!</f>
        <v>#REF!</v>
      </c>
      <c r="C25" s="11"/>
      <c r="D25" s="10"/>
    </row>
    <row r="26" spans="1:6">
      <c r="A26" s="408" t="s">
        <v>492</v>
      </c>
      <c r="B26" s="398" t="e">
        <f ca="1">OFFSET(ПП_Свод!$E$3,Расчет_Результат,0)</f>
        <v>#N/A</v>
      </c>
      <c r="C26" s="11"/>
      <c r="D26" s="10"/>
    </row>
    <row r="27" spans="1:6">
      <c r="A27" s="408" t="s">
        <v>493</v>
      </c>
      <c r="B27" s="398" t="b">
        <f>ПП_Свод!$E3</f>
        <v>1</v>
      </c>
      <c r="C27" s="11"/>
      <c r="D27" s="10"/>
    </row>
    <row r="28" spans="1:6">
      <c r="A28" s="10"/>
      <c r="B28" s="11"/>
      <c r="C28" s="11"/>
      <c r="D28" s="10"/>
    </row>
    <row r="29" spans="1:6">
      <c r="A29" s="408" t="s">
        <v>504</v>
      </c>
      <c r="B29" s="407" t="b">
        <v>1</v>
      </c>
      <c r="C29" s="11"/>
      <c r="D29" s="10"/>
    </row>
    <row r="30" spans="1:6">
      <c r="A30" s="408" t="s">
        <v>505</v>
      </c>
      <c r="B30" s="407" t="e">
        <f>#REF!</f>
        <v>#REF!</v>
      </c>
      <c r="C30" s="11"/>
      <c r="D30" s="10"/>
    </row>
    <row r="31" spans="1:6">
      <c r="A31" s="408" t="s">
        <v>506</v>
      </c>
      <c r="B31" s="398" t="e">
        <f ca="1">OFFSET(ПП_Свод!$F$3,Расчет_Результат,0)</f>
        <v>#N/A</v>
      </c>
      <c r="C31" s="11"/>
      <c r="D31" s="10"/>
    </row>
    <row r="32" spans="1:6">
      <c r="A32" s="408" t="s">
        <v>507</v>
      </c>
      <c r="B32" s="398" t="b">
        <f>ПП_Свод!F3</f>
        <v>0</v>
      </c>
      <c r="C32" s="11"/>
      <c r="D32" s="10"/>
    </row>
    <row r="33" spans="1:4">
      <c r="A33" s="10"/>
      <c r="B33" s="11"/>
      <c r="C33" s="11"/>
      <c r="D33" s="10"/>
    </row>
    <row r="34" spans="1:4">
      <c r="A34" s="408" t="s">
        <v>512</v>
      </c>
      <c r="B34" s="407" t="b">
        <v>1</v>
      </c>
      <c r="C34" s="11"/>
      <c r="D34" s="10"/>
    </row>
    <row r="35" spans="1:4">
      <c r="A35" s="408" t="s">
        <v>513</v>
      </c>
      <c r="B35" s="407" t="e">
        <f>#REF!</f>
        <v>#REF!</v>
      </c>
      <c r="C35" s="11"/>
      <c r="D35" s="10"/>
    </row>
    <row r="36" spans="1:4">
      <c r="A36" s="408" t="s">
        <v>514</v>
      </c>
      <c r="B36" s="407" t="e">
        <f ca="1">OFFSET(ПП_Свод!$J$3,Расчет_Результат,0)</f>
        <v>#N/A</v>
      </c>
      <c r="C36" s="11"/>
      <c r="D36" s="10"/>
    </row>
    <row r="37" spans="1:4">
      <c r="A37" s="408" t="s">
        <v>515</v>
      </c>
      <c r="B37" s="407" t="b">
        <f>ПП_Свод!J3</f>
        <v>1</v>
      </c>
      <c r="C37" s="11"/>
      <c r="D37" s="10"/>
    </row>
    <row r="38" spans="1:4">
      <c r="A38" s="10"/>
      <c r="B38" s="11"/>
      <c r="C38" s="11"/>
      <c r="D38" s="10"/>
    </row>
    <row r="39" spans="1:4">
      <c r="A39" s="408" t="s">
        <v>516</v>
      </c>
      <c r="B39" s="407" t="b">
        <v>1</v>
      </c>
      <c r="C39" s="11"/>
      <c r="D39" s="10"/>
    </row>
    <row r="40" spans="1:4">
      <c r="A40" s="408" t="s">
        <v>517</v>
      </c>
      <c r="B40" s="407" t="e">
        <f>NOT(C40="Все варианты")</f>
        <v>#REF!</v>
      </c>
      <c r="C40" s="425" t="e">
        <f>Задача_ВентиляторШумоизоляцияТекст</f>
        <v>#REF!</v>
      </c>
      <c r="D40" s="10"/>
    </row>
    <row r="41" spans="1:4">
      <c r="A41" s="408" t="s">
        <v>518</v>
      </c>
      <c r="B41" s="407" t="e">
        <f>NOT(C41="Все варианты")</f>
        <v>#REF!</v>
      </c>
      <c r="C41" s="425" t="e">
        <f>Задача_ВентиляторECТекст</f>
        <v>#REF!</v>
      </c>
      <c r="D41" s="10"/>
    </row>
    <row r="42" spans="1:4">
      <c r="A42" s="408" t="s">
        <v>618</v>
      </c>
      <c r="B42" s="407" t="e">
        <f>C42="Все варианты"</f>
        <v>#REF!</v>
      </c>
      <c r="C42" s="425" t="e">
        <f>Задача_ПроизводительТекст</f>
        <v>#REF!</v>
      </c>
      <c r="D42" s="10"/>
    </row>
    <row r="43" spans="1:4">
      <c r="A43" s="408" t="s">
        <v>519</v>
      </c>
      <c r="B43" s="407" t="e">
        <f ca="1">MATCH(1,ПП_Оборудование!J$3:J$118,0)</f>
        <v>#N/A</v>
      </c>
      <c r="C43" s="11"/>
      <c r="D43" s="10"/>
    </row>
    <row r="44" spans="1:4">
      <c r="A44" s="408" t="s">
        <v>520</v>
      </c>
      <c r="B44" s="407" t="e">
        <f ca="1">MATCH(2,ПП_Оборудование!J$3:J$118,0)</f>
        <v>#N/A</v>
      </c>
      <c r="C44" s="11"/>
      <c r="D44" s="10"/>
    </row>
    <row r="45" spans="1:4">
      <c r="A45" s="408" t="s">
        <v>521</v>
      </c>
      <c r="B45" s="407" t="e">
        <f ca="1">MATCH(3,ПП_Оборудование!J$3:J$118,0)</f>
        <v>#N/A</v>
      </c>
      <c r="C45" s="11"/>
      <c r="D45" s="10"/>
    </row>
    <row r="46" spans="1:4">
      <c r="A46" s="408" t="s">
        <v>522</v>
      </c>
      <c r="B46" s="407" t="e">
        <f ca="1">MATCH(4,ПП_Оборудование!J$3:J$118,0)</f>
        <v>#N/A</v>
      </c>
      <c r="C46" s="11"/>
      <c r="D46" s="10"/>
    </row>
    <row r="47" spans="1:4">
      <c r="A47" s="408" t="s">
        <v>523</v>
      </c>
      <c r="B47" s="407" t="e">
        <f ca="1">MATCH(5,ПП_Оборудование!J$3:J$118,0)</f>
        <v>#N/A</v>
      </c>
      <c r="C47" s="11"/>
      <c r="D47" s="10"/>
    </row>
    <row r="48" spans="1:4">
      <c r="A48" s="408" t="s">
        <v>524</v>
      </c>
      <c r="B48" s="407" t="e">
        <f>Расчет_ВентиляторВариантТекст</f>
        <v>#REF!</v>
      </c>
      <c r="C48" s="11"/>
      <c r="D48" s="10"/>
    </row>
    <row r="49" spans="1:4">
      <c r="A49" s="408" t="s">
        <v>525</v>
      </c>
      <c r="B49" s="407" t="e">
        <f>MATCH(B48,#REF!,0)</f>
        <v>#REF!</v>
      </c>
      <c r="C49" s="11"/>
      <c r="D49" s="10"/>
    </row>
    <row r="50" spans="1:4">
      <c r="A50" s="408" t="s">
        <v>526</v>
      </c>
      <c r="B50" s="407" t="e">
        <f>INDEX(B43:B47,Расчет_ВентиляторВариант)</f>
        <v>#REF!</v>
      </c>
      <c r="C50" s="11"/>
      <c r="D50" s="10"/>
    </row>
    <row r="51" spans="1:4">
      <c r="A51" s="408" t="s">
        <v>527</v>
      </c>
      <c r="B51" s="407" t="b">
        <f>ПП_Свод!U3</f>
        <v>1</v>
      </c>
      <c r="C51" s="11"/>
      <c r="D51" s="10"/>
    </row>
    <row r="52" spans="1:4">
      <c r="A52" s="408" t="s">
        <v>528</v>
      </c>
      <c r="B52" s="407" t="b">
        <v>0</v>
      </c>
      <c r="C52" s="11"/>
      <c r="D52" s="10"/>
    </row>
    <row r="53" spans="1:4">
      <c r="A53" s="408" t="s">
        <v>529</v>
      </c>
      <c r="B53" s="407" t="str">
        <f ca="1">IF(Задача_ВентиляторГибкиеВставки,IF(OFFSET(Оборудование_Вентиляторы,Расчет_ВентиляторРезультат+1,27)="+","+",MATCH(OFFSET(Оборудование_Вентиляторы,Расчет_ВентиляторРезультат+1,27),ПП_Оборудование!A122:A136,0)),"")</f>
        <v/>
      </c>
      <c r="C53" s="11"/>
      <c r="D53" s="10"/>
    </row>
    <row r="54" spans="1:4">
      <c r="A54" s="10" t="s">
        <v>61</v>
      </c>
      <c r="B54" s="11" t="e">
        <f>#REF!</f>
        <v>#REF!</v>
      </c>
      <c r="C54" s="11"/>
      <c r="D54" s="10"/>
    </row>
    <row r="55" spans="1:4">
      <c r="A55" s="10" t="s">
        <v>62</v>
      </c>
      <c r="B55" s="11" t="e">
        <f ca="1">IF(Приток_ВентиляторАвтоматика&lt;&gt;"Нет",IF(OFFSET(Оборудование_Вентиляторы,Расчет_ВентиляторРезультат+1,23+MATCH(Приток_ВентиляторАвтоматика,Список_АвтоматикаВентилятора,0)-1)="-","-",MATCH(OFFSET(Оборудование_Вентиляторы,Расчет_ВентиляторРезультат+1,23+MATCH(Приток_ВентиляторАвтоматика,Список_АвтоматикаВентилятора,0)-1),ПП_Оборудование!A140:A177,0)),"")</f>
        <v>#REF!</v>
      </c>
      <c r="C55" s="11"/>
      <c r="D55" s="10"/>
    </row>
    <row r="56" spans="1:4">
      <c r="A56" s="10"/>
      <c r="B56" s="11"/>
      <c r="C56" s="11"/>
      <c r="D56" s="10"/>
    </row>
    <row r="57" spans="1:4">
      <c r="A57" s="491" t="s">
        <v>585</v>
      </c>
      <c r="B57" s="492" t="b">
        <v>1</v>
      </c>
      <c r="C57" s="10"/>
      <c r="D57" s="10"/>
    </row>
    <row r="58" spans="1:4">
      <c r="A58" s="493" t="s">
        <v>586</v>
      </c>
      <c r="B58" s="494" t="e">
        <f>#REF!</f>
        <v>#REF!</v>
      </c>
      <c r="C58" s="11"/>
      <c r="D58" s="10"/>
    </row>
    <row r="59" spans="1:4">
      <c r="A59" s="493" t="s">
        <v>590</v>
      </c>
      <c r="B59" s="494" t="e">
        <f>MATCH(Задача_НагревательТипТекст,Список_ТипНагревателя,0)</f>
        <v>#REF!</v>
      </c>
      <c r="C59" s="11"/>
      <c r="D59" s="10"/>
    </row>
    <row r="60" spans="1:4">
      <c r="A60" s="491" t="s">
        <v>588</v>
      </c>
      <c r="B60" s="495" t="e">
        <f>#REF!</f>
        <v>#REF!</v>
      </c>
      <c r="C60" s="11"/>
      <c r="D60" s="10"/>
    </row>
    <row r="61" spans="1:4">
      <c r="A61" s="491" t="s">
        <v>589</v>
      </c>
      <c r="B61" s="495" t="e">
        <f>MATCH(Задача_НагревательИсточникТемперТекст,Список_ТемператураВходаНагревателя,0)</f>
        <v>#REF!</v>
      </c>
      <c r="C61" s="11"/>
      <c r="D61" s="10"/>
    </row>
    <row r="62" spans="1:4">
      <c r="A62" s="491" t="s">
        <v>597</v>
      </c>
      <c r="B62" s="495" t="e">
        <f>#REF!</f>
        <v>#REF!</v>
      </c>
      <c r="C62" s="11"/>
      <c r="D62" s="10"/>
    </row>
    <row r="63" spans="1:4">
      <c r="A63" s="491" t="s">
        <v>598</v>
      </c>
      <c r="B63" s="495" t="e">
        <f>LEFT(B62,LEN(B62)-3)</f>
        <v>#REF!</v>
      </c>
      <c r="C63" s="11"/>
      <c r="D63" s="10"/>
    </row>
    <row r="64" spans="1:4">
      <c r="A64" s="491" t="s">
        <v>602</v>
      </c>
      <c r="B64" s="509" t="e">
        <f>#REF!/100</f>
        <v>#REF!</v>
      </c>
      <c r="C64" s="11"/>
      <c r="D64" s="10"/>
    </row>
    <row r="65" spans="1:4">
      <c r="A65" s="493" t="s">
        <v>604</v>
      </c>
      <c r="B65" s="496" t="e">
        <f>#REF!</f>
        <v>#REF!</v>
      </c>
      <c r="C65" s="11"/>
      <c r="D65" s="10"/>
    </row>
    <row r="66" spans="1:4">
      <c r="A66" s="493" t="s">
        <v>605</v>
      </c>
      <c r="B66" s="498" t="e">
        <f>#REF!</f>
        <v>#REF!</v>
      </c>
      <c r="C66" s="11"/>
      <c r="D66" s="10"/>
    </row>
    <row r="67" spans="1:4">
      <c r="A67" s="493" t="s">
        <v>609</v>
      </c>
      <c r="B67" s="498" t="str">
        <f ca="1">IFERROR(IF(Задача_Нагреватель,OFFSET(Оборудование_Нагреватели,Расчет_НагревательРезультат+1,18),"---"),"---")</f>
        <v>---</v>
      </c>
      <c r="C67" s="11"/>
      <c r="D67" s="10"/>
    </row>
    <row r="68" spans="1:4">
      <c r="A68" s="493" t="s">
        <v>603</v>
      </c>
      <c r="B68" s="498" t="e">
        <f>#REF!</f>
        <v>#REF!</v>
      </c>
      <c r="C68" s="11"/>
      <c r="D68" s="10"/>
    </row>
    <row r="69" spans="1:4">
      <c r="A69" s="493" t="s">
        <v>600</v>
      </c>
      <c r="B69" s="497" t="e">
        <f ca="1">OFFSET(ПП_Свод!$H$3,Расчет_Результат,0)</f>
        <v>#N/A</v>
      </c>
      <c r="C69" s="11"/>
      <c r="D69" s="10"/>
    </row>
    <row r="70" spans="1:4">
      <c r="A70" s="428" t="s">
        <v>601</v>
      </c>
      <c r="B70" s="426" t="b">
        <f>ПП_Свод!H3</f>
        <v>1</v>
      </c>
      <c r="C70" s="11"/>
      <c r="D70" s="10"/>
    </row>
    <row r="71" spans="1:4">
      <c r="C71" s="11"/>
      <c r="D71" s="10"/>
    </row>
    <row r="72" spans="1:4">
      <c r="A72" s="427" t="s">
        <v>537</v>
      </c>
      <c r="B72" s="426" t="b">
        <v>0</v>
      </c>
    </row>
    <row r="73" spans="1:4">
      <c r="A73" s="427" t="s">
        <v>538</v>
      </c>
      <c r="B73" s="407" t="e">
        <f ca="1">OFFSET(ПП_Свод!$G$3,Расчет_Результат,0)</f>
        <v>#N/A</v>
      </c>
    </row>
    <row r="74" spans="1:4">
      <c r="A74" s="428" t="s">
        <v>539</v>
      </c>
      <c r="B74" s="426" t="b">
        <f>ПП_Свод!G3</f>
        <v>1</v>
      </c>
    </row>
    <row r="76" spans="1:4">
      <c r="A76" s="7" t="s">
        <v>168</v>
      </c>
      <c r="B76" s="7" t="b">
        <v>0</v>
      </c>
    </row>
  </sheetData>
  <customSheetViews>
    <customSheetView guid="{0C99ABE2-728B-4C30-A993-CD651C64FAAE}" showGridLines="0" state="hidden">
      <selection activeCell="F10" sqref="F10"/>
      <pageMargins left="0.7" right="0.7" top="0.75" bottom="0.75" header="0.3" footer="0.3"/>
      <pageSetup paperSize="9" orientation="portrait" r:id="rId1"/>
    </customSheetView>
    <customSheetView guid="{2BA56ECA-30F6-456D-AB26-04DD1698A098}" showGridLines="0" state="hidden">
      <selection activeCell="F10" sqref="F10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215967"/>
  </sheetPr>
  <dimension ref="A1:AZ378"/>
  <sheetViews>
    <sheetView showGridLines="0" topLeftCell="A194" zoomScaleNormal="100" workbookViewId="0">
      <pane xSplit="4" topLeftCell="E1" activePane="topRight" state="frozen"/>
      <selection activeCell="D31" activeCellId="1" sqref="B1 D31"/>
      <selection pane="topRight" activeCell="A212" sqref="A212"/>
    </sheetView>
  </sheetViews>
  <sheetFormatPr defaultColWidth="8.88671875" defaultRowHeight="12"/>
  <cols>
    <col min="1" max="1" width="50.6640625" style="117" customWidth="1"/>
    <col min="2" max="2" width="8.88671875" style="40"/>
    <col min="3" max="3" width="50.6640625" style="40" customWidth="1"/>
    <col min="4" max="4" width="30.6640625" style="40" customWidth="1"/>
    <col min="5" max="6" width="15.6640625" style="40" customWidth="1"/>
    <col min="7" max="34" width="15.6640625" style="41" customWidth="1"/>
    <col min="35" max="41" width="15.6640625" style="40" customWidth="1"/>
    <col min="42" max="43" width="15.6640625" style="41" customWidth="1"/>
    <col min="44" max="48" width="15.6640625" style="40" customWidth="1"/>
    <col min="49" max="16384" width="8.88671875" style="40"/>
  </cols>
  <sheetData>
    <row r="1" spans="1:48">
      <c r="A1" s="39" t="s">
        <v>84</v>
      </c>
    </row>
    <row r="2" spans="1:48">
      <c r="A2" s="42" t="s">
        <v>57</v>
      </c>
      <c r="B2" s="43" t="s">
        <v>85</v>
      </c>
      <c r="C2" s="43" t="s">
        <v>86</v>
      </c>
      <c r="D2" s="43" t="s">
        <v>87</v>
      </c>
      <c r="E2" s="43" t="s">
        <v>22</v>
      </c>
      <c r="F2" s="43" t="s">
        <v>595</v>
      </c>
      <c r="G2" s="43" t="s">
        <v>88</v>
      </c>
      <c r="H2" s="43" t="s">
        <v>89</v>
      </c>
      <c r="I2" s="43" t="s">
        <v>90</v>
      </c>
      <c r="J2" s="43" t="s">
        <v>91</v>
      </c>
      <c r="K2" s="43" t="s">
        <v>92</v>
      </c>
      <c r="L2" s="43" t="s">
        <v>508</v>
      </c>
      <c r="M2" s="43" t="s">
        <v>94</v>
      </c>
      <c r="N2" s="43" t="s">
        <v>95</v>
      </c>
      <c r="O2" s="43" t="s">
        <v>96</v>
      </c>
      <c r="P2" s="43" t="s">
        <v>97</v>
      </c>
      <c r="Q2" s="43" t="s">
        <v>98</v>
      </c>
      <c r="R2" s="43" t="s">
        <v>99</v>
      </c>
      <c r="S2" s="43" t="s">
        <v>100</v>
      </c>
      <c r="T2" s="43" t="s">
        <v>101</v>
      </c>
      <c r="U2" s="43" t="s">
        <v>42</v>
      </c>
      <c r="V2" s="43" t="s">
        <v>169</v>
      </c>
      <c r="W2" s="43" t="s">
        <v>157</v>
      </c>
      <c r="X2" s="43" t="s">
        <v>158</v>
      </c>
      <c r="Y2" s="43" t="s">
        <v>44</v>
      </c>
      <c r="Z2" s="43" t="s">
        <v>102</v>
      </c>
      <c r="AA2" s="43" t="s">
        <v>103</v>
      </c>
      <c r="AB2" s="43" t="s">
        <v>104</v>
      </c>
      <c r="AC2" s="43" t="s">
        <v>105</v>
      </c>
      <c r="AD2" s="43" t="s">
        <v>106</v>
      </c>
      <c r="AE2" s="43" t="s">
        <v>107</v>
      </c>
      <c r="AF2" s="43" t="s">
        <v>108</v>
      </c>
      <c r="AG2" s="43" t="s">
        <v>109</v>
      </c>
      <c r="AH2" s="43" t="s">
        <v>110</v>
      </c>
      <c r="AI2" s="43" t="s">
        <v>111</v>
      </c>
      <c r="AJ2" s="43" t="s">
        <v>112</v>
      </c>
      <c r="AK2" s="43" t="s">
        <v>113</v>
      </c>
      <c r="AL2" s="43" t="s">
        <v>114</v>
      </c>
      <c r="AM2" s="43" t="s">
        <v>115</v>
      </c>
      <c r="AN2" s="43" t="s">
        <v>116</v>
      </c>
      <c r="AO2" s="43" t="s">
        <v>117</v>
      </c>
      <c r="AP2" s="43" t="s">
        <v>118</v>
      </c>
      <c r="AQ2" s="43" t="s">
        <v>119</v>
      </c>
      <c r="AR2" s="43" t="s">
        <v>120</v>
      </c>
      <c r="AS2" s="43" t="s">
        <v>121</v>
      </c>
      <c r="AT2" s="43" t="s">
        <v>122</v>
      </c>
      <c r="AU2" s="43" t="s">
        <v>617</v>
      </c>
      <c r="AV2" s="41"/>
    </row>
    <row r="3" spans="1:48">
      <c r="A3" s="533" t="s">
        <v>660</v>
      </c>
      <c r="B3" s="54">
        <f>MATCH(A3,Вентиляторы!B$6:B$1864,0)</f>
        <v>6</v>
      </c>
      <c r="C3" s="45" t="e">
        <f ca="1">OFFSET(Вентиляторы!#REF!,B3-1,0)</f>
        <v>#REF!</v>
      </c>
      <c r="D3" s="45" t="e">
        <f t="shared" ref="D3:D42" ca="1" si="0">MID(C3,SEARCH("LV-",C3,1),IFERROR(SEARCH("(",C3,1),LEN(C3)+2)-SEARCH("LV-",C3,1)-1)</f>
        <v>#REF!</v>
      </c>
      <c r="E3" s="486" t="e">
        <f ca="1">OFFSET(Вентиляторы!#REF!,B3-1,0)</f>
        <v>#REF!</v>
      </c>
      <c r="F3" s="501" t="s">
        <v>591</v>
      </c>
      <c r="G3" s="46" t="e">
        <f t="shared" ref="G3:G42" si="1">AN3+Задача_Расход*(AO3+Задача_Расход*(AP3+Задача_Расход*(AQ3+Задача_Расход*(AR3+Задача_Расход*(AS3+Задача_Расход*AT3)))))</f>
        <v>#REF!</v>
      </c>
      <c r="H3" s="46" t="e">
        <f ca="1">($G3/OFFSET(ПП_Свод!T$3,MATCH(M3,ПП_Свод!B$4:B$213,0),0)-1) &gt; -Задача_Допуск/100</f>
        <v>#REF!</v>
      </c>
      <c r="I3" s="46" t="str">
        <f t="shared" ref="I3:I34" si="2">CONCATENATE($M3,"=",IFERROR(AND($S3=Задача_ТипКод,OR(Задача_ПроизводительЛюбой,Задача_ПроизводительТекст=AU3),OR(NOT(Задача_ВентиляторШумоизоляция),T3=Задача_ВентиляторШумоизоляция),OR(NOT(Задача_ВентиляторEC),U3=Задача_ВентиляторEC),Задача_Расход&gt;=Z3, Задача_Расход&lt;=AF3, H3),FALSE))</f>
        <v>Ø100=ЛОЖЬ</v>
      </c>
      <c r="J3" s="47" t="e">
        <f t="shared" ref="J3:J66" ca="1" si="3">IFERROR(J2+0,0)+IF(AND(M3=Расчет_РезультатТипоразмер,I3=CONCATENATE(M3,"=ИСТИНА")),1,0)</f>
        <v>#N/A</v>
      </c>
      <c r="K3" s="147">
        <v>100</v>
      </c>
      <c r="L3" s="147"/>
      <c r="M3" s="44" t="str">
        <f t="shared" ref="M3:M42" si="4">IF(L3&gt;0,IF(K3&gt;0,CONCATENATE(K3,"x",L3),L3),CONCATENATE("Ø",K3))</f>
        <v>Ø100</v>
      </c>
      <c r="N3" s="147">
        <v>194</v>
      </c>
      <c r="O3" s="147">
        <v>3</v>
      </c>
      <c r="P3" s="147" t="s">
        <v>123</v>
      </c>
      <c r="Q3" s="147">
        <v>0.06</v>
      </c>
      <c r="R3" s="147">
        <v>0.3</v>
      </c>
      <c r="S3" s="85" t="s">
        <v>458</v>
      </c>
      <c r="T3" s="85" t="b">
        <v>0</v>
      </c>
      <c r="U3" s="85" t="b">
        <v>0</v>
      </c>
      <c r="V3" s="80" t="s">
        <v>17</v>
      </c>
      <c r="W3" s="80" t="s">
        <v>1</v>
      </c>
      <c r="X3" s="80" t="s">
        <v>170</v>
      </c>
      <c r="Y3" s="80" t="s">
        <v>242</v>
      </c>
      <c r="Z3" s="48">
        <v>0</v>
      </c>
      <c r="AA3" s="49">
        <v>50</v>
      </c>
      <c r="AB3" s="49">
        <v>100</v>
      </c>
      <c r="AC3" s="49">
        <v>200</v>
      </c>
      <c r="AD3" s="49">
        <v>300</v>
      </c>
      <c r="AE3" s="49">
        <v>400</v>
      </c>
      <c r="AF3" s="50">
        <v>500</v>
      </c>
      <c r="AG3" s="48">
        <v>335</v>
      </c>
      <c r="AH3" s="49">
        <v>305</v>
      </c>
      <c r="AI3" s="49">
        <v>280</v>
      </c>
      <c r="AJ3" s="49">
        <v>225</v>
      </c>
      <c r="AK3" s="49">
        <v>165</v>
      </c>
      <c r="AL3" s="49">
        <v>110</v>
      </c>
      <c r="AM3" s="50">
        <v>60</v>
      </c>
      <c r="AN3" s="51">
        <f>INDEX(LINEST($AG3:$AM3,$Z3:$AF3^Данные!$A$106:$A$110),1,6)</f>
        <v>334.93584799376026</v>
      </c>
      <c r="AO3" s="51">
        <f>INDEX(LINEST($AG3:$AM3,$Z3:$AF3^Данные!$A$106:$A$110),1,5)</f>
        <v>-0.68429570731143829</v>
      </c>
      <c r="AP3" s="51">
        <f>INDEX(LINEST($AG3:$AM3,$Z3:$AF3^Данные!$A$106:$A$110),1,4)</f>
        <v>2.4589744561920495E-3</v>
      </c>
      <c r="AQ3" s="51">
        <f>INDEX(LINEST($AG3:$AM3,$Z3:$AF3^Данные!$A$106:$A$110),1,3)</f>
        <v>-1.4434121963197262E-5</v>
      </c>
      <c r="AR3" s="51">
        <f>INDEX(LINEST($AG3:$AM3,$Z3:$AF3^Данные!$A$106:$A$110),1,2)</f>
        <v>3.2689845307218946E-8</v>
      </c>
      <c r="AS3" s="51">
        <f>INDEX(LINEST($AG3:$AM3,$Z3:$AF3^Данные!$A$106:$A$110),1,1)</f>
        <v>-2.5164442326024736E-11</v>
      </c>
      <c r="AT3" s="52">
        <v>0</v>
      </c>
      <c r="AU3" s="44" t="str">
        <f>Производитель_Россия</f>
        <v>Россия</v>
      </c>
      <c r="AV3" s="53"/>
    </row>
    <row r="4" spans="1:48">
      <c r="A4" s="534" t="s">
        <v>667</v>
      </c>
      <c r="B4" s="54" t="e">
        <f>MATCH(A4,Вентиляторы!B$6:B$1864,0)</f>
        <v>#N/A</v>
      </c>
      <c r="C4" s="55" t="e">
        <f ca="1">OFFSET(Вентиляторы!#REF!,B4-1,0)</f>
        <v>#REF!</v>
      </c>
      <c r="D4" s="55" t="e">
        <f t="shared" ca="1" si="0"/>
        <v>#REF!</v>
      </c>
      <c r="E4" s="502" t="e">
        <f ca="1">OFFSET(Вентиляторы!#REF!,B4-1,0)</f>
        <v>#REF!</v>
      </c>
      <c r="F4" s="503" t="s">
        <v>591</v>
      </c>
      <c r="G4" s="56" t="e">
        <f t="shared" si="1"/>
        <v>#REF!</v>
      </c>
      <c r="H4" s="56" t="e">
        <f ca="1">($G4/OFFSET(ПП_Свод!T$3,MATCH(M4,ПП_Свод!B$4:B$213,0),0)-1) &gt; -Задача_Допуск/100</f>
        <v>#REF!</v>
      </c>
      <c r="I4" s="56" t="str">
        <f t="shared" si="2"/>
        <v>Ø100=ЛОЖЬ</v>
      </c>
      <c r="J4" s="57" t="e">
        <f t="shared" ca="1" si="3"/>
        <v>#N/A</v>
      </c>
      <c r="K4" s="148">
        <v>100</v>
      </c>
      <c r="L4" s="148"/>
      <c r="M4" s="54" t="str">
        <f t="shared" si="4"/>
        <v>Ø100</v>
      </c>
      <c r="N4" s="148">
        <v>189</v>
      </c>
      <c r="O4" s="148">
        <v>3</v>
      </c>
      <c r="P4" s="148" t="s">
        <v>123</v>
      </c>
      <c r="Q4" s="148">
        <v>4.3999999999999997E-2</v>
      </c>
      <c r="R4" s="148">
        <v>0.19</v>
      </c>
      <c r="S4" s="103" t="s">
        <v>458</v>
      </c>
      <c r="T4" s="103" t="b">
        <v>0</v>
      </c>
      <c r="U4" s="103" t="b">
        <v>0</v>
      </c>
      <c r="V4" s="100" t="s">
        <v>17</v>
      </c>
      <c r="W4" s="100" t="s">
        <v>1</v>
      </c>
      <c r="X4" s="100" t="s">
        <v>170</v>
      </c>
      <c r="Y4" s="100" t="s">
        <v>171</v>
      </c>
      <c r="Z4" s="58">
        <v>0</v>
      </c>
      <c r="AA4" s="59">
        <v>50</v>
      </c>
      <c r="AB4" s="59">
        <v>70</v>
      </c>
      <c r="AC4" s="59">
        <v>100</v>
      </c>
      <c r="AD4" s="59">
        <v>150</v>
      </c>
      <c r="AE4" s="59">
        <v>200</v>
      </c>
      <c r="AF4" s="60">
        <v>235</v>
      </c>
      <c r="AG4" s="58">
        <v>275</v>
      </c>
      <c r="AH4" s="59">
        <v>220</v>
      </c>
      <c r="AI4" s="59">
        <v>200</v>
      </c>
      <c r="AJ4" s="59">
        <v>165</v>
      </c>
      <c r="AK4" s="59">
        <v>100</v>
      </c>
      <c r="AL4" s="59">
        <v>40</v>
      </c>
      <c r="AM4" s="60">
        <v>0</v>
      </c>
      <c r="AN4" s="61">
        <f>INDEX(LINEST($AG4:$AM4,$Z4:$AF4^Данные!$A$106:$A$110),1,6)</f>
        <v>274.99461033065108</v>
      </c>
      <c r="AO4" s="61">
        <f>INDEX(LINEST($AG4:$AM4,$Z4:$AF4^Данные!$A$106:$A$110),1,5)</f>
        <v>-1.483700410013834</v>
      </c>
      <c r="AP4" s="61">
        <f>INDEX(LINEST($AG4:$AM4,$Z4:$AF4^Данные!$A$106:$A$110),1,4)</f>
        <v>1.4655742613714101E-2</v>
      </c>
      <c r="AQ4" s="61">
        <f>INDEX(LINEST($AG4:$AM4,$Z4:$AF4^Данные!$A$106:$A$110),1,3)</f>
        <v>-1.7595081987220983E-4</v>
      </c>
      <c r="AR4" s="61">
        <f>INDEX(LINEST($AG4:$AM4,$Z4:$AF4^Данные!$A$106:$A$110),1,2)</f>
        <v>8.0603982048707403E-7</v>
      </c>
      <c r="AS4" s="61">
        <f>INDEX(LINEST($AG4:$AM4,$Z4:$AF4^Данные!$A$106:$A$110),1,1)</f>
        <v>-1.2703809404701326E-9</v>
      </c>
      <c r="AT4" s="62">
        <v>0</v>
      </c>
      <c r="AU4" s="54" t="str">
        <f>Производитель_Европа</f>
        <v>Евросоюз</v>
      </c>
      <c r="AV4" s="53"/>
    </row>
    <row r="5" spans="1:48">
      <c r="A5" s="534" t="s">
        <v>668</v>
      </c>
      <c r="B5" s="54" t="e">
        <f>MATCH(A5,Вентиляторы!B$6:B$1864,0)</f>
        <v>#N/A</v>
      </c>
      <c r="C5" s="55" t="e">
        <f ca="1">OFFSET(Вентиляторы!#REF!,B5-1,0)</f>
        <v>#REF!</v>
      </c>
      <c r="D5" s="55" t="e">
        <f t="shared" ca="1" si="0"/>
        <v>#REF!</v>
      </c>
      <c r="E5" s="502" t="e">
        <f ca="1">OFFSET(Вентиляторы!#REF!,B5-1,0)</f>
        <v>#REF!</v>
      </c>
      <c r="F5" s="503" t="s">
        <v>591</v>
      </c>
      <c r="G5" s="56" t="e">
        <f t="shared" si="1"/>
        <v>#REF!</v>
      </c>
      <c r="H5" s="56" t="e">
        <f ca="1">($G5/OFFSET(ПП_Свод!T$3,MATCH(M5,ПП_Свод!B$4:B$213,0),0)-1) &gt; -Задача_Допуск/100</f>
        <v>#REF!</v>
      </c>
      <c r="I5" s="56" t="str">
        <f t="shared" si="2"/>
        <v>Ø100=ЛОЖЬ</v>
      </c>
      <c r="J5" s="57" t="e">
        <f t="shared" ca="1" si="3"/>
        <v>#N/A</v>
      </c>
      <c r="K5" s="149">
        <v>100</v>
      </c>
      <c r="L5" s="149"/>
      <c r="M5" s="63" t="str">
        <f t="shared" si="4"/>
        <v>Ø100</v>
      </c>
      <c r="N5" s="149">
        <v>189</v>
      </c>
      <c r="O5" s="149">
        <v>3</v>
      </c>
      <c r="P5" s="149" t="s">
        <v>123</v>
      </c>
      <c r="Q5" s="149">
        <v>6.3E-2</v>
      </c>
      <c r="R5" s="149">
        <v>0.27</v>
      </c>
      <c r="S5" s="95" t="s">
        <v>458</v>
      </c>
      <c r="T5" s="95" t="b">
        <v>0</v>
      </c>
      <c r="U5" s="95" t="b">
        <v>0</v>
      </c>
      <c r="V5" s="90" t="s">
        <v>17</v>
      </c>
      <c r="W5" s="90" t="s">
        <v>1</v>
      </c>
      <c r="X5" s="90" t="s">
        <v>170</v>
      </c>
      <c r="Y5" s="90" t="s">
        <v>171</v>
      </c>
      <c r="Z5" s="64">
        <v>0</v>
      </c>
      <c r="AA5" s="65">
        <v>50</v>
      </c>
      <c r="AB5" s="65">
        <v>70</v>
      </c>
      <c r="AC5" s="65">
        <v>100</v>
      </c>
      <c r="AD5" s="65">
        <v>150</v>
      </c>
      <c r="AE5" s="65">
        <v>200</v>
      </c>
      <c r="AF5" s="66">
        <v>250</v>
      </c>
      <c r="AG5" s="64">
        <v>300</v>
      </c>
      <c r="AH5" s="65">
        <v>265</v>
      </c>
      <c r="AI5" s="65">
        <v>250</v>
      </c>
      <c r="AJ5" s="65">
        <v>225</v>
      </c>
      <c r="AK5" s="65">
        <v>175</v>
      </c>
      <c r="AL5" s="65">
        <v>120</v>
      </c>
      <c r="AM5" s="66">
        <v>50</v>
      </c>
      <c r="AN5" s="67">
        <f>INDEX(LINEST($AG5:$AM5,$Z5:$AF5^Данные!$A$106:$A$110),1,6)</f>
        <v>300.0064352724205</v>
      </c>
      <c r="AO5" s="67">
        <f>INDEX(LINEST($AG5:$AM5,$Z5:$AF5^Данные!$A$106:$A$110),1,5)</f>
        <v>-0.82567623919025879</v>
      </c>
      <c r="AP5" s="67">
        <f>INDEX(LINEST($AG5:$AM5,$Z5:$AF5^Данные!$A$106:$A$110),1,4)</f>
        <v>5.5938857248796475E-3</v>
      </c>
      <c r="AQ5" s="67">
        <f>INDEX(LINEST($AG5:$AM5,$Z5:$AF5^Данные!$A$106:$A$110),1,3)</f>
        <v>-7.9713552045367116E-5</v>
      </c>
      <c r="AR5" s="67">
        <f>INDEX(LINEST($AG5:$AM5,$Z5:$AF5^Данные!$A$106:$A$110),1,2)</f>
        <v>3.7429924535901261E-7</v>
      </c>
      <c r="AS5" s="67">
        <f>INDEX(LINEST($AG5:$AM5,$Z5:$AF5^Данные!$A$106:$A$110),1,1)</f>
        <v>-6.2441974492024232E-10</v>
      </c>
      <c r="AT5" s="68">
        <v>0</v>
      </c>
      <c r="AU5" s="63" t="str">
        <f>Производитель_Европа</f>
        <v>Евросоюз</v>
      </c>
      <c r="AV5" s="53"/>
    </row>
    <row r="6" spans="1:48">
      <c r="A6" s="535" t="s">
        <v>669</v>
      </c>
      <c r="B6" s="44">
        <f>MATCH(A6,Вентиляторы!B$6:B$1864,0)</f>
        <v>7</v>
      </c>
      <c r="C6" s="45" t="e">
        <f ca="1">OFFSET(Вентиляторы!#REF!,B6-1,0)</f>
        <v>#REF!</v>
      </c>
      <c r="D6" s="45" t="e">
        <f t="shared" ca="1" si="0"/>
        <v>#REF!</v>
      </c>
      <c r="E6" s="486" t="e">
        <f ca="1">OFFSET(Вентиляторы!#REF!,B6-1,0)</f>
        <v>#REF!</v>
      </c>
      <c r="F6" s="501" t="s">
        <v>591</v>
      </c>
      <c r="G6" s="46" t="e">
        <f t="shared" si="1"/>
        <v>#REF!</v>
      </c>
      <c r="H6" s="46" t="e">
        <f ca="1">($G6/OFFSET(ПП_Свод!T$3,MATCH(M6,ПП_Свод!B$4:B$213,0),0)-1) &gt; -Задача_Допуск/100</f>
        <v>#REF!</v>
      </c>
      <c r="I6" s="46" t="str">
        <f t="shared" si="2"/>
        <v>Ø125=ЛОЖЬ</v>
      </c>
      <c r="J6" s="47" t="e">
        <f t="shared" ca="1" si="3"/>
        <v>#N/A</v>
      </c>
      <c r="K6" s="147">
        <v>125</v>
      </c>
      <c r="L6" s="147"/>
      <c r="M6" s="44" t="str">
        <f t="shared" si="4"/>
        <v>Ø125</v>
      </c>
      <c r="N6" s="147">
        <v>195</v>
      </c>
      <c r="O6" s="147">
        <v>3.2</v>
      </c>
      <c r="P6" s="147" t="s">
        <v>123</v>
      </c>
      <c r="Q6" s="147">
        <v>0.06</v>
      </c>
      <c r="R6" s="147">
        <v>0.3</v>
      </c>
      <c r="S6" s="85" t="s">
        <v>458</v>
      </c>
      <c r="T6" s="85" t="b">
        <v>0</v>
      </c>
      <c r="U6" s="85" t="b">
        <v>0</v>
      </c>
      <c r="V6" s="80" t="s">
        <v>17</v>
      </c>
      <c r="W6" s="80" t="s">
        <v>1</v>
      </c>
      <c r="X6" s="80" t="s">
        <v>170</v>
      </c>
      <c r="Y6" s="80" t="s">
        <v>243</v>
      </c>
      <c r="Z6" s="48">
        <v>0</v>
      </c>
      <c r="AA6" s="49">
        <v>50</v>
      </c>
      <c r="AB6" s="49">
        <v>100</v>
      </c>
      <c r="AC6" s="49">
        <v>200</v>
      </c>
      <c r="AD6" s="49">
        <v>300</v>
      </c>
      <c r="AE6" s="49">
        <v>400</v>
      </c>
      <c r="AF6" s="50">
        <v>500</v>
      </c>
      <c r="AG6" s="48">
        <v>335</v>
      </c>
      <c r="AH6" s="49">
        <v>305</v>
      </c>
      <c r="AI6" s="49">
        <v>280</v>
      </c>
      <c r="AJ6" s="49">
        <v>225</v>
      </c>
      <c r="AK6" s="49">
        <v>165</v>
      </c>
      <c r="AL6" s="49">
        <v>110</v>
      </c>
      <c r="AM6" s="50">
        <v>60</v>
      </c>
      <c r="AN6" s="51">
        <f>INDEX(LINEST($AG6:$AM6,$Z6:$AF6^Данные!$A$106:$A$110),1,6)</f>
        <v>334.93584799376026</v>
      </c>
      <c r="AO6" s="51">
        <f>INDEX(LINEST($AG6:$AM6,$Z6:$AF6^Данные!$A$106:$A$110),1,5)</f>
        <v>-0.68429570731143829</v>
      </c>
      <c r="AP6" s="51">
        <f>INDEX(LINEST($AG6:$AM6,$Z6:$AF6^Данные!$A$106:$A$110),1,4)</f>
        <v>2.4589744561920495E-3</v>
      </c>
      <c r="AQ6" s="51">
        <f>INDEX(LINEST($AG6:$AM6,$Z6:$AF6^Данные!$A$106:$A$110),1,3)</f>
        <v>-1.4434121963197262E-5</v>
      </c>
      <c r="AR6" s="51">
        <f>INDEX(LINEST($AG6:$AM6,$Z6:$AF6^Данные!$A$106:$A$110),1,2)</f>
        <v>3.2689845307218946E-8</v>
      </c>
      <c r="AS6" s="51">
        <f>INDEX(LINEST($AG6:$AM6,$Z6:$AF6^Данные!$A$106:$A$110),1,1)</f>
        <v>-2.5164442326024736E-11</v>
      </c>
      <c r="AT6" s="52">
        <v>0</v>
      </c>
      <c r="AU6" s="44" t="str">
        <f>Производитель_Россия</f>
        <v>Россия</v>
      </c>
      <c r="AV6" s="41"/>
    </row>
    <row r="7" spans="1:48">
      <c r="A7" s="534" t="s">
        <v>670</v>
      </c>
      <c r="B7" s="54" t="e">
        <f>MATCH(A7,Вентиляторы!B$6:B$1864,0)</f>
        <v>#N/A</v>
      </c>
      <c r="C7" s="55" t="e">
        <f ca="1">OFFSET(Вентиляторы!#REF!,B7-1,0)</f>
        <v>#REF!</v>
      </c>
      <c r="D7" s="55" t="e">
        <f t="shared" ca="1" si="0"/>
        <v>#REF!</v>
      </c>
      <c r="E7" s="502" t="e">
        <f ca="1">OFFSET(Вентиляторы!#REF!,B7-1,0)</f>
        <v>#REF!</v>
      </c>
      <c r="F7" s="503" t="s">
        <v>591</v>
      </c>
      <c r="G7" s="56" t="e">
        <f t="shared" si="1"/>
        <v>#REF!</v>
      </c>
      <c r="H7" s="56" t="e">
        <f ca="1">($G7/OFFSET(ПП_Свод!T$3,MATCH(M7,ПП_Свод!B$4:B$213,0),0)-1) &gt; -Задача_Допуск/100</f>
        <v>#REF!</v>
      </c>
      <c r="I7" s="56" t="str">
        <f t="shared" si="2"/>
        <v>Ø125=ЛОЖЬ</v>
      </c>
      <c r="J7" s="57" t="e">
        <f t="shared" ca="1" si="3"/>
        <v>#N/A</v>
      </c>
      <c r="K7" s="148">
        <v>125</v>
      </c>
      <c r="L7" s="148"/>
      <c r="M7" s="54" t="str">
        <f t="shared" si="4"/>
        <v>Ø125</v>
      </c>
      <c r="N7" s="148">
        <v>182</v>
      </c>
      <c r="O7" s="148">
        <v>3</v>
      </c>
      <c r="P7" s="148" t="s">
        <v>123</v>
      </c>
      <c r="Q7" s="148">
        <v>4.3999999999999997E-2</v>
      </c>
      <c r="R7" s="148">
        <v>0.19</v>
      </c>
      <c r="S7" s="103" t="s">
        <v>458</v>
      </c>
      <c r="T7" s="103" t="b">
        <v>0</v>
      </c>
      <c r="U7" s="103" t="b">
        <v>0</v>
      </c>
      <c r="V7" s="100" t="s">
        <v>17</v>
      </c>
      <c r="W7" s="100" t="s">
        <v>1</v>
      </c>
      <c r="X7" s="100" t="s">
        <v>170</v>
      </c>
      <c r="Y7" s="100" t="s">
        <v>171</v>
      </c>
      <c r="Z7" s="58">
        <v>0</v>
      </c>
      <c r="AA7" s="59">
        <v>50</v>
      </c>
      <c r="AB7" s="59">
        <v>90</v>
      </c>
      <c r="AC7" s="59">
        <v>100</v>
      </c>
      <c r="AD7" s="59">
        <v>150</v>
      </c>
      <c r="AE7" s="59">
        <v>200</v>
      </c>
      <c r="AF7" s="60">
        <v>250</v>
      </c>
      <c r="AG7" s="58">
        <v>280</v>
      </c>
      <c r="AH7" s="59">
        <v>240</v>
      </c>
      <c r="AI7" s="59">
        <v>200</v>
      </c>
      <c r="AJ7" s="59">
        <v>185</v>
      </c>
      <c r="AK7" s="59">
        <v>125</v>
      </c>
      <c r="AL7" s="59">
        <v>70</v>
      </c>
      <c r="AM7" s="60">
        <v>25</v>
      </c>
      <c r="AN7" s="61">
        <f>INDEX(LINEST($AG7:$AM7,$Z7:$AF7^Данные!$A$106:$A$110),1,6)</f>
        <v>279.98236335420881</v>
      </c>
      <c r="AO7" s="61">
        <f>INDEX(LINEST($AG7:$AM7,$Z7:$AF7^Данные!$A$106:$A$110),1,5)</f>
        <v>-0.76089658822478479</v>
      </c>
      <c r="AP7" s="61">
        <f>INDEX(LINEST($AG7:$AM7,$Z7:$AF7^Данные!$A$106:$A$110),1,4)</f>
        <v>1.7350460353574091E-3</v>
      </c>
      <c r="AQ7" s="61">
        <f>INDEX(LINEST($AG7:$AM7,$Z7:$AF7^Данные!$A$106:$A$110),1,3)</f>
        <v>-6.5622514868032597E-5</v>
      </c>
      <c r="AR7" s="61">
        <f>INDEX(LINEST($AG7:$AM7,$Z7:$AF7^Данные!$A$106:$A$110),1,2)</f>
        <v>3.7067834849434772E-7</v>
      </c>
      <c r="AS7" s="61">
        <f>INDEX(LINEST($AG7:$AM7,$Z7:$AF7^Данные!$A$106:$A$110),1,1)</f>
        <v>-6.1011867454888418E-10</v>
      </c>
      <c r="AT7" s="62">
        <v>0</v>
      </c>
      <c r="AU7" s="54" t="str">
        <f t="shared" ref="AU7:AU13" si="5">Производитель_Европа</f>
        <v>Евросоюз</v>
      </c>
      <c r="AV7" s="41"/>
    </row>
    <row r="8" spans="1:48">
      <c r="A8" s="534" t="s">
        <v>671</v>
      </c>
      <c r="B8" s="54" t="e">
        <f>MATCH(A8,Вентиляторы!B$6:B$1864,0)</f>
        <v>#N/A</v>
      </c>
      <c r="C8" s="55" t="e">
        <f ca="1">OFFSET(Вентиляторы!#REF!,B8-1,0)</f>
        <v>#REF!</v>
      </c>
      <c r="D8" s="55" t="e">
        <f t="shared" ca="1" si="0"/>
        <v>#REF!</v>
      </c>
      <c r="E8" s="502" t="e">
        <f ca="1">OFFSET(Вентиляторы!#REF!,B8-1,0)</f>
        <v>#REF!</v>
      </c>
      <c r="F8" s="503" t="s">
        <v>591</v>
      </c>
      <c r="G8" s="56" t="e">
        <f t="shared" si="1"/>
        <v>#REF!</v>
      </c>
      <c r="H8" s="56" t="e">
        <f ca="1">($G8/OFFSET(ПП_Свод!T$3,MATCH(M8,ПП_Свод!B$4:B$213,0),0)-1) &gt; -Задача_Допуск/100</f>
        <v>#REF!</v>
      </c>
      <c r="I8" s="56" t="str">
        <f t="shared" si="2"/>
        <v>Ø125=ЛОЖЬ</v>
      </c>
      <c r="J8" s="57" t="e">
        <f t="shared" ca="1" si="3"/>
        <v>#N/A</v>
      </c>
      <c r="K8" s="148">
        <v>125</v>
      </c>
      <c r="L8" s="148"/>
      <c r="M8" s="54" t="str">
        <f t="shared" si="4"/>
        <v>Ø125</v>
      </c>
      <c r="N8" s="148">
        <v>182</v>
      </c>
      <c r="O8" s="148">
        <v>3</v>
      </c>
      <c r="P8" s="148" t="s">
        <v>123</v>
      </c>
      <c r="Q8" s="148">
        <v>6.7000000000000004E-2</v>
      </c>
      <c r="R8" s="148">
        <v>0.28999999999999998</v>
      </c>
      <c r="S8" s="103" t="s">
        <v>458</v>
      </c>
      <c r="T8" s="103" t="b">
        <v>0</v>
      </c>
      <c r="U8" s="103" t="b">
        <v>0</v>
      </c>
      <c r="V8" s="100" t="s">
        <v>17</v>
      </c>
      <c r="W8" s="100" t="s">
        <v>1</v>
      </c>
      <c r="X8" s="100" t="s">
        <v>170</v>
      </c>
      <c r="Y8" s="100" t="s">
        <v>171</v>
      </c>
      <c r="Z8" s="58">
        <v>0</v>
      </c>
      <c r="AA8" s="59">
        <v>50</v>
      </c>
      <c r="AB8" s="59">
        <v>75</v>
      </c>
      <c r="AC8" s="59">
        <v>100</v>
      </c>
      <c r="AD8" s="59">
        <v>150</v>
      </c>
      <c r="AE8" s="59">
        <v>200</v>
      </c>
      <c r="AF8" s="60">
        <v>250</v>
      </c>
      <c r="AG8" s="58">
        <v>300</v>
      </c>
      <c r="AH8" s="59">
        <v>265</v>
      </c>
      <c r="AI8" s="59">
        <v>250</v>
      </c>
      <c r="AJ8" s="59">
        <v>235</v>
      </c>
      <c r="AK8" s="59">
        <v>190</v>
      </c>
      <c r="AL8" s="59">
        <v>145</v>
      </c>
      <c r="AM8" s="60">
        <v>100</v>
      </c>
      <c r="AN8" s="61">
        <f>INDEX(LINEST($AG8:$AM8,$Z8:$AF8^Данные!$A$106:$A$110),1,6)</f>
        <v>300.02887513882308</v>
      </c>
      <c r="AO8" s="61">
        <f>INDEX(LINEST($AG8:$AM8,$Z8:$AF8^Данные!$A$106:$A$110),1,5)</f>
        <v>-1.1948740282404888</v>
      </c>
      <c r="AP8" s="61">
        <f>INDEX(LINEST($AG8:$AM8,$Z8:$AF8^Данные!$A$106:$A$110),1,4)</f>
        <v>1.6952824052037716E-2</v>
      </c>
      <c r="AQ8" s="61">
        <f>INDEX(LINEST($AG8:$AM8,$Z8:$AF8^Данные!$A$106:$A$110),1,3)</f>
        <v>-1.7902966841185758E-4</v>
      </c>
      <c r="AR8" s="61">
        <f>INDEX(LINEST($AG8:$AM8,$Z8:$AF8^Данные!$A$106:$A$110),1,2)</f>
        <v>7.3813422179910371E-7</v>
      </c>
      <c r="AS8" s="61">
        <f>INDEX(LINEST($AG8:$AM8,$Z8:$AF8^Данные!$A$106:$A$110),1,1)</f>
        <v>-1.0719720767887744E-9</v>
      </c>
      <c r="AT8" s="62">
        <v>0</v>
      </c>
      <c r="AU8" s="54" t="str">
        <f t="shared" si="5"/>
        <v>Евросоюз</v>
      </c>
      <c r="AV8" s="41"/>
    </row>
    <row r="9" spans="1:48">
      <c r="A9" s="534" t="s">
        <v>672</v>
      </c>
      <c r="B9" s="54" t="e">
        <f>MATCH(A9,Вентиляторы!B$6:B$1864,0)</f>
        <v>#N/A</v>
      </c>
      <c r="C9" s="55" t="e">
        <f ca="1">OFFSET(Вентиляторы!#REF!,B9-1,0)</f>
        <v>#REF!</v>
      </c>
      <c r="D9" s="55" t="e">
        <f t="shared" ca="1" si="0"/>
        <v>#REF!</v>
      </c>
      <c r="E9" s="502" t="e">
        <f ca="1">OFFSET(Вентиляторы!#REF!,B9-1,0)</f>
        <v>#REF!</v>
      </c>
      <c r="F9" s="503" t="s">
        <v>591</v>
      </c>
      <c r="G9" s="56" t="e">
        <f t="shared" si="1"/>
        <v>#REF!</v>
      </c>
      <c r="H9" s="56" t="e">
        <f ca="1">($G9/OFFSET(ПП_Свод!T$3,MATCH(M9,ПП_Свод!B$4:B$213,0),0)-1) &gt; -Задача_Допуск/100</f>
        <v>#REF!</v>
      </c>
      <c r="I9" s="56" t="str">
        <f t="shared" si="2"/>
        <v>Ø125=ЛОЖЬ</v>
      </c>
      <c r="J9" s="57" t="e">
        <f t="shared" ca="1" si="3"/>
        <v>#N/A</v>
      </c>
      <c r="K9" s="148">
        <v>125</v>
      </c>
      <c r="L9" s="148"/>
      <c r="M9" s="54" t="str">
        <f t="shared" si="4"/>
        <v>Ø125</v>
      </c>
      <c r="N9" s="148">
        <v>400</v>
      </c>
      <c r="O9" s="148">
        <v>13.5</v>
      </c>
      <c r="P9" s="148" t="s">
        <v>123</v>
      </c>
      <c r="Q9" s="148">
        <v>7.4999999999999997E-2</v>
      </c>
      <c r="R9" s="148">
        <v>0.33</v>
      </c>
      <c r="S9" s="103" t="s">
        <v>458</v>
      </c>
      <c r="T9" s="103" t="b">
        <v>1</v>
      </c>
      <c r="U9" s="103" t="b">
        <v>0</v>
      </c>
      <c r="V9" s="100" t="s">
        <v>17</v>
      </c>
      <c r="W9" s="100" t="s">
        <v>1</v>
      </c>
      <c r="X9" s="100" t="s">
        <v>170</v>
      </c>
      <c r="Y9" s="100" t="s">
        <v>243</v>
      </c>
      <c r="Z9" s="58">
        <v>0</v>
      </c>
      <c r="AA9" s="59">
        <v>30</v>
      </c>
      <c r="AB9" s="59">
        <v>110</v>
      </c>
      <c r="AC9" s="59">
        <v>150</v>
      </c>
      <c r="AD9" s="59">
        <v>175</v>
      </c>
      <c r="AE9" s="59">
        <v>200</v>
      </c>
      <c r="AF9" s="60">
        <v>230</v>
      </c>
      <c r="AG9" s="58">
        <v>280</v>
      </c>
      <c r="AH9" s="59">
        <v>260</v>
      </c>
      <c r="AI9" s="59">
        <v>230</v>
      </c>
      <c r="AJ9" s="59">
        <v>190</v>
      </c>
      <c r="AK9" s="59">
        <v>150</v>
      </c>
      <c r="AL9" s="59">
        <v>95</v>
      </c>
      <c r="AM9" s="60">
        <v>50</v>
      </c>
      <c r="AN9" s="61">
        <f>INDEX(LINEST($AG9:$AM9,$Z9:$AF9^Данные!$A$106:$A$110),1,6)</f>
        <v>279.97258579178879</v>
      </c>
      <c r="AO9" s="61">
        <f>INDEX(LINEST($AG9:$AM9,$Z9:$AF9^Данные!$A$106:$A$110),1,5)</f>
        <v>-0.61460833050755836</v>
      </c>
      <c r="AP9" s="61">
        <f>INDEX(LINEST($AG9:$AM9,$Z9:$AF9^Данные!$A$106:$A$110),1,4)</f>
        <v>-6.2695607244666043E-3</v>
      </c>
      <c r="AQ9" s="61">
        <f>INDEX(LINEST($AG9:$AM9,$Z9:$AF9^Данные!$A$106:$A$110),1,3)</f>
        <v>1.976009925515379E-4</v>
      </c>
      <c r="AR9" s="61">
        <f>INDEX(LINEST($AG9:$AM9,$Z9:$AF9^Данные!$A$106:$A$110),1,2)</f>
        <v>-1.5168948906808475E-6</v>
      </c>
      <c r="AS9" s="61">
        <f>INDEX(LINEST($AG9:$AM9,$Z9:$AF9^Данные!$A$106:$A$110),1,1)</f>
        <v>3.2372105180747877E-9</v>
      </c>
      <c r="AT9" s="62">
        <v>0</v>
      </c>
      <c r="AU9" s="54" t="str">
        <f t="shared" si="5"/>
        <v>Евросоюз</v>
      </c>
      <c r="AV9" s="41"/>
    </row>
    <row r="10" spans="1:48">
      <c r="A10" s="534" t="s">
        <v>673</v>
      </c>
      <c r="B10" s="54" t="e">
        <f>MATCH(A10,Вентиляторы!B$6:B$1864,0)</f>
        <v>#N/A</v>
      </c>
      <c r="C10" s="55" t="e">
        <f ca="1">OFFSET(Вентиляторы!#REF!,B10-1,0)</f>
        <v>#REF!</v>
      </c>
      <c r="D10" s="55" t="e">
        <f t="shared" ca="1" si="0"/>
        <v>#REF!</v>
      </c>
      <c r="E10" s="502" t="e">
        <f ca="1">OFFSET(Вентиляторы!#REF!,B10-1,0)</f>
        <v>#REF!</v>
      </c>
      <c r="F10" s="503" t="s">
        <v>591</v>
      </c>
      <c r="G10" s="56" t="e">
        <f t="shared" si="1"/>
        <v>#REF!</v>
      </c>
      <c r="H10" s="56" t="e">
        <f ca="1">($G10/OFFSET(ПП_Свод!T$3,MATCH(M10,ПП_Свод!B$4:B$213,0),0)-1) &gt; -Задача_Допуск/100</f>
        <v>#REF!</v>
      </c>
      <c r="I10" s="56" t="str">
        <f t="shared" si="2"/>
        <v>Ø125=ЛОЖЬ</v>
      </c>
      <c r="J10" s="57" t="e">
        <f t="shared" ca="1" si="3"/>
        <v>#N/A</v>
      </c>
      <c r="K10" s="148">
        <v>125</v>
      </c>
      <c r="L10" s="148"/>
      <c r="M10" s="54" t="str">
        <f t="shared" si="4"/>
        <v>Ø125</v>
      </c>
      <c r="N10" s="148">
        <v>400</v>
      </c>
      <c r="O10" s="148">
        <v>11.9</v>
      </c>
      <c r="P10" s="148" t="s">
        <v>123</v>
      </c>
      <c r="Q10" s="148">
        <v>0.12</v>
      </c>
      <c r="R10" s="148">
        <v>0.53</v>
      </c>
      <c r="S10" s="103" t="s">
        <v>458</v>
      </c>
      <c r="T10" s="103" t="b">
        <v>1</v>
      </c>
      <c r="U10" s="103" t="b">
        <v>0</v>
      </c>
      <c r="V10" s="100" t="s">
        <v>17</v>
      </c>
      <c r="W10" s="100" t="s">
        <v>1</v>
      </c>
      <c r="X10" s="100" t="s">
        <v>170</v>
      </c>
      <c r="Y10" s="100" t="s">
        <v>243</v>
      </c>
      <c r="Z10" s="58">
        <v>0</v>
      </c>
      <c r="AA10" s="59">
        <v>110</v>
      </c>
      <c r="AB10" s="59">
        <v>150</v>
      </c>
      <c r="AC10" s="59">
        <v>200</v>
      </c>
      <c r="AD10" s="59">
        <v>250</v>
      </c>
      <c r="AE10" s="59">
        <v>300</v>
      </c>
      <c r="AF10" s="60">
        <v>410</v>
      </c>
      <c r="AG10" s="58">
        <v>385</v>
      </c>
      <c r="AH10" s="59">
        <v>355</v>
      </c>
      <c r="AI10" s="59">
        <v>340</v>
      </c>
      <c r="AJ10" s="59">
        <v>325</v>
      </c>
      <c r="AK10" s="59">
        <v>280</v>
      </c>
      <c r="AL10" s="59">
        <v>215</v>
      </c>
      <c r="AM10" s="60">
        <v>10</v>
      </c>
      <c r="AN10" s="61">
        <f>INDEX(LINEST($AG10:$AM10,$Z10:$AF10^Данные!$A$106:$A$110),1,6)</f>
        <v>385.02948368329106</v>
      </c>
      <c r="AO10" s="61">
        <f>INDEX(LINEST($AG10:$AM10,$Z10:$AF10^Данные!$A$106:$A$110),1,5)</f>
        <v>-7.4160926989792902E-2</v>
      </c>
      <c r="AP10" s="61">
        <f>INDEX(LINEST($AG10:$AM10,$Z10:$AF10^Данные!$A$106:$A$110),1,4)</f>
        <v>-5.5524216600016029E-3</v>
      </c>
      <c r="AQ10" s="61">
        <f>INDEX(LINEST($AG10:$AM10,$Z10:$AF10^Данные!$A$106:$A$110),1,3)</f>
        <v>5.2394286397494479E-5</v>
      </c>
      <c r="AR10" s="61">
        <f>INDEX(LINEST($AG10:$AM10,$Z10:$AF10^Данные!$A$106:$A$110),1,2)</f>
        <v>-1.9760945521756853E-7</v>
      </c>
      <c r="AS10" s="61">
        <f>INDEX(LINEST($AG10:$AM10,$Z10:$AF10^Данные!$A$106:$A$110),1,1)</f>
        <v>2.2110756028550375E-10</v>
      </c>
      <c r="AT10" s="62">
        <v>0</v>
      </c>
      <c r="AU10" s="54" t="str">
        <f t="shared" si="5"/>
        <v>Евросоюз</v>
      </c>
      <c r="AV10" s="41"/>
    </row>
    <row r="11" spans="1:48">
      <c r="A11" s="534" t="s">
        <v>674</v>
      </c>
      <c r="B11" s="54" t="e">
        <f>MATCH(A11,Вентиляторы!B$6:B$1864,0)</f>
        <v>#N/A</v>
      </c>
      <c r="C11" s="55" t="e">
        <f ca="1">OFFSET(Вентиляторы!#REF!,B11-1,0)</f>
        <v>#REF!</v>
      </c>
      <c r="D11" s="55" t="e">
        <f t="shared" ca="1" si="0"/>
        <v>#REF!</v>
      </c>
      <c r="E11" s="502" t="e">
        <f ca="1">OFFSET(Вентиляторы!#REF!,B11-1,0)</f>
        <v>#REF!</v>
      </c>
      <c r="F11" s="503" t="s">
        <v>591</v>
      </c>
      <c r="G11" s="56" t="e">
        <f t="shared" si="1"/>
        <v>#REF!</v>
      </c>
      <c r="H11" s="56" t="e">
        <f ca="1">($G11/OFFSET(ПП_Свод!T$3,MATCH(M11,ПП_Свод!B$4:B$213,0),0)-1) &gt; -Задача_Допуск/100</f>
        <v>#REF!</v>
      </c>
      <c r="I11" s="56" t="str">
        <f t="shared" si="2"/>
        <v>Ø125=ЛОЖЬ</v>
      </c>
      <c r="J11" s="57" t="e">
        <f t="shared" ca="1" si="3"/>
        <v>#N/A</v>
      </c>
      <c r="K11" s="148">
        <v>125</v>
      </c>
      <c r="L11" s="148"/>
      <c r="M11" s="54" t="str">
        <f t="shared" si="4"/>
        <v>Ø125</v>
      </c>
      <c r="N11" s="148">
        <v>207</v>
      </c>
      <c r="O11" s="148">
        <v>2.1</v>
      </c>
      <c r="P11" s="148" t="s">
        <v>123</v>
      </c>
      <c r="Q11" s="148">
        <v>5.2999999999999999E-2</v>
      </c>
      <c r="R11" s="148">
        <v>0.4</v>
      </c>
      <c r="S11" s="103" t="s">
        <v>458</v>
      </c>
      <c r="T11" s="103" t="b">
        <v>0</v>
      </c>
      <c r="U11" s="103" t="b">
        <v>1</v>
      </c>
      <c r="V11" s="100" t="s">
        <v>170</v>
      </c>
      <c r="W11" s="100" t="s">
        <v>170</v>
      </c>
      <c r="X11" s="100" t="s">
        <v>170</v>
      </c>
      <c r="Y11" s="100" t="s">
        <v>243</v>
      </c>
      <c r="Z11" s="58">
        <v>0</v>
      </c>
      <c r="AA11" s="59">
        <v>180</v>
      </c>
      <c r="AB11" s="59">
        <v>250</v>
      </c>
      <c r="AC11" s="59">
        <v>300</v>
      </c>
      <c r="AD11" s="59">
        <v>350</v>
      </c>
      <c r="AE11" s="59">
        <v>400</v>
      </c>
      <c r="AF11" s="60">
        <v>510</v>
      </c>
      <c r="AG11" s="58">
        <v>620</v>
      </c>
      <c r="AH11" s="59">
        <v>400</v>
      </c>
      <c r="AI11" s="59">
        <v>318</v>
      </c>
      <c r="AJ11" s="59">
        <v>259</v>
      </c>
      <c r="AK11" s="59">
        <v>200</v>
      </c>
      <c r="AL11" s="59">
        <v>140</v>
      </c>
      <c r="AM11" s="60">
        <v>0</v>
      </c>
      <c r="AN11" s="61">
        <f>INDEX(LINEST($AG11:$AM11,$Z11:$AF11^Данные!$A$106:$A$110),1,6)</f>
        <v>619.99980160119412</v>
      </c>
      <c r="AO11" s="61">
        <f>INDEX(LINEST($AG11:$AM11,$Z11:$AF11^Данные!$A$106:$A$110),1,5)</f>
        <v>-1.3546520387702794</v>
      </c>
      <c r="AP11" s="61">
        <f>INDEX(LINEST($AG11:$AM11,$Z11:$AF11^Данные!$A$106:$A$110),1,4)</f>
        <v>1.4341015996159258E-3</v>
      </c>
      <c r="AQ11" s="61">
        <f>INDEX(LINEST($AG11:$AM11,$Z11:$AF11^Данные!$A$106:$A$110),1,3)</f>
        <v>-5.4827859659387701E-6</v>
      </c>
      <c r="AR11" s="61">
        <f>INDEX(LINEST($AG11:$AM11,$Z11:$AF11^Данные!$A$106:$A$110),1,2)</f>
        <v>1.0349700909252322E-8</v>
      </c>
      <c r="AS11" s="61">
        <f>INDEX(LINEST($AG11:$AM11,$Z11:$AF11^Данные!$A$106:$A$110),1,1)</f>
        <v>-7.97099046461535E-12</v>
      </c>
      <c r="AT11" s="62">
        <v>0</v>
      </c>
      <c r="AU11" s="54" t="str">
        <f t="shared" si="5"/>
        <v>Евросоюз</v>
      </c>
      <c r="AV11" s="41"/>
    </row>
    <row r="12" spans="1:48">
      <c r="A12" s="536" t="s">
        <v>675</v>
      </c>
      <c r="B12" s="63" t="e">
        <f>MATCH(A12,Вентиляторы!B$6:B$1864,0)</f>
        <v>#N/A</v>
      </c>
      <c r="C12" s="69" t="e">
        <f ca="1">OFFSET(Вентиляторы!#REF!,B12-1,0)</f>
        <v>#REF!</v>
      </c>
      <c r="D12" s="69" t="e">
        <f t="shared" ca="1" si="0"/>
        <v>#REF!</v>
      </c>
      <c r="E12" s="504" t="e">
        <f ca="1">OFFSET(Вентиляторы!#REF!,B12-1,0)</f>
        <v>#REF!</v>
      </c>
      <c r="F12" s="505" t="s">
        <v>591</v>
      </c>
      <c r="G12" s="70" t="e">
        <f t="shared" si="1"/>
        <v>#REF!</v>
      </c>
      <c r="H12" s="70" t="e">
        <f ca="1">($G12/OFFSET(ПП_Свод!T$3,MATCH(M12,ПП_Свод!B$4:B$213,0),0)-1) &gt; -Задача_Допуск/100</f>
        <v>#REF!</v>
      </c>
      <c r="I12" s="70" t="str">
        <f t="shared" si="2"/>
        <v>Ø125=ЛОЖЬ</v>
      </c>
      <c r="J12" s="71" t="e">
        <f t="shared" ca="1" si="3"/>
        <v>#N/A</v>
      </c>
      <c r="K12" s="149">
        <v>125</v>
      </c>
      <c r="L12" s="149"/>
      <c r="M12" s="63" t="str">
        <f t="shared" si="4"/>
        <v>Ø125</v>
      </c>
      <c r="N12" s="149">
        <v>400</v>
      </c>
      <c r="O12" s="149">
        <v>12.3</v>
      </c>
      <c r="P12" s="149" t="s">
        <v>123</v>
      </c>
      <c r="Q12" s="149">
        <v>5.2999999999999999E-2</v>
      </c>
      <c r="R12" s="149">
        <v>0.4</v>
      </c>
      <c r="S12" s="95" t="s">
        <v>458</v>
      </c>
      <c r="T12" s="95" t="b">
        <v>1</v>
      </c>
      <c r="U12" s="95" t="b">
        <v>1</v>
      </c>
      <c r="V12" s="90" t="s">
        <v>170</v>
      </c>
      <c r="W12" s="90" t="s">
        <v>170</v>
      </c>
      <c r="X12" s="90" t="s">
        <v>170</v>
      </c>
      <c r="Y12" s="90" t="s">
        <v>243</v>
      </c>
      <c r="Z12" s="64">
        <v>0</v>
      </c>
      <c r="AA12" s="65">
        <v>100</v>
      </c>
      <c r="AB12" s="65">
        <v>225</v>
      </c>
      <c r="AC12" s="65">
        <v>250</v>
      </c>
      <c r="AD12" s="65">
        <v>375</v>
      </c>
      <c r="AE12" s="65">
        <v>500</v>
      </c>
      <c r="AF12" s="66">
        <v>575</v>
      </c>
      <c r="AG12" s="64">
        <v>740</v>
      </c>
      <c r="AH12" s="65">
        <v>710</v>
      </c>
      <c r="AI12" s="65">
        <v>600</v>
      </c>
      <c r="AJ12" s="65">
        <v>570</v>
      </c>
      <c r="AK12" s="65">
        <v>375</v>
      </c>
      <c r="AL12" s="65">
        <v>125</v>
      </c>
      <c r="AM12" s="66">
        <v>0</v>
      </c>
      <c r="AN12" s="67">
        <f>INDEX(LINEST($AG12:$AM12,$Z12:$AF12^Данные!$A$106:$A$110),1,6)</f>
        <v>739.99987486243185</v>
      </c>
      <c r="AO12" s="67">
        <f>INDEX(LINEST($AG12:$AM12,$Z12:$AF12^Данные!$A$106:$A$110),1,5)</f>
        <v>0.10708913671675269</v>
      </c>
      <c r="AP12" s="67">
        <f>INDEX(LINEST($AG12:$AM12,$Z12:$AF12^Данные!$A$106:$A$110),1,4)</f>
        <v>-5.3477260850027875E-3</v>
      </c>
      <c r="AQ12" s="67">
        <f>INDEX(LINEST($AG12:$AM12,$Z12:$AF12^Данные!$A$106:$A$110),1,3)</f>
        <v>1.6208711447335663E-5</v>
      </c>
      <c r="AR12" s="67">
        <f>INDEX(LINEST($AG12:$AM12,$Z12:$AF12^Данные!$A$106:$A$110),1,2)</f>
        <v>-3.7562501267321785E-8</v>
      </c>
      <c r="AS12" s="67">
        <f>INDEX(LINEST($AG12:$AM12,$Z12:$AF12^Данные!$A$106:$A$110),1,1)</f>
        <v>3.167856208114935E-11</v>
      </c>
      <c r="AT12" s="68">
        <v>0</v>
      </c>
      <c r="AU12" s="63" t="str">
        <f t="shared" si="5"/>
        <v>Евросоюз</v>
      </c>
      <c r="AV12" s="41"/>
    </row>
    <row r="13" spans="1:48">
      <c r="A13" s="535" t="s">
        <v>676</v>
      </c>
      <c r="B13" s="44" t="e">
        <f>MATCH(A13,Вентиляторы!B$6:B$1864,0)</f>
        <v>#N/A</v>
      </c>
      <c r="C13" s="45" t="e">
        <f ca="1">OFFSET(Вентиляторы!#REF!,B13-1,0)</f>
        <v>#REF!</v>
      </c>
      <c r="D13" s="45" t="e">
        <f t="shared" ca="1" si="0"/>
        <v>#REF!</v>
      </c>
      <c r="E13" s="486" t="e">
        <f ca="1">OFFSET(Вентиляторы!#REF!,B13-1,0)</f>
        <v>#REF!</v>
      </c>
      <c r="F13" s="501" t="s">
        <v>591</v>
      </c>
      <c r="G13" s="46" t="e">
        <f t="shared" si="1"/>
        <v>#REF!</v>
      </c>
      <c r="H13" s="46" t="e">
        <f ca="1">($G13/OFFSET(ПП_Свод!T$3,MATCH(M13,ПП_Свод!B$4:B$213,0),0)-1) &gt; -Задача_Допуск/100</f>
        <v>#REF!</v>
      </c>
      <c r="I13" s="46" t="str">
        <f t="shared" si="2"/>
        <v>Ø160=ЛОЖЬ</v>
      </c>
      <c r="J13" s="47" t="e">
        <f t="shared" ca="1" si="3"/>
        <v>#N/A</v>
      </c>
      <c r="K13" s="147">
        <v>160</v>
      </c>
      <c r="L13" s="147"/>
      <c r="M13" s="44" t="str">
        <f t="shared" si="4"/>
        <v>Ø160</v>
      </c>
      <c r="N13" s="147">
        <v>189</v>
      </c>
      <c r="O13" s="147">
        <v>3</v>
      </c>
      <c r="P13" s="147" t="s">
        <v>123</v>
      </c>
      <c r="Q13" s="147">
        <v>6.5000000000000002E-2</v>
      </c>
      <c r="R13" s="147">
        <v>0.28000000000000003</v>
      </c>
      <c r="S13" s="85" t="s">
        <v>458</v>
      </c>
      <c r="T13" s="85" t="b">
        <v>0</v>
      </c>
      <c r="U13" s="85" t="b">
        <v>0</v>
      </c>
      <c r="V13" s="80" t="s">
        <v>17</v>
      </c>
      <c r="W13" s="80" t="s">
        <v>1</v>
      </c>
      <c r="X13" s="80" t="s">
        <v>170</v>
      </c>
      <c r="Y13" s="80" t="s">
        <v>171</v>
      </c>
      <c r="Z13" s="48">
        <v>0</v>
      </c>
      <c r="AA13" s="49">
        <v>50</v>
      </c>
      <c r="AB13" s="49">
        <v>125</v>
      </c>
      <c r="AC13" s="49">
        <v>163</v>
      </c>
      <c r="AD13" s="49">
        <v>250</v>
      </c>
      <c r="AE13" s="49">
        <v>325</v>
      </c>
      <c r="AF13" s="50">
        <v>375</v>
      </c>
      <c r="AG13" s="48">
        <v>310</v>
      </c>
      <c r="AH13" s="49">
        <v>280</v>
      </c>
      <c r="AI13" s="49">
        <v>225</v>
      </c>
      <c r="AJ13" s="49">
        <v>200</v>
      </c>
      <c r="AK13" s="49">
        <v>125</v>
      </c>
      <c r="AL13" s="49">
        <v>50</v>
      </c>
      <c r="AM13" s="50">
        <v>0</v>
      </c>
      <c r="AN13" s="51">
        <f>INDEX(LINEST($AG13:$AM13,$Z13:$AF13^Данные!$A$106:$A$110),1,6)</f>
        <v>310.10664193266757</v>
      </c>
      <c r="AO13" s="72">
        <f>INDEX(LINEST($AG13:$AM13,$Z13:$AF13^Данные!$A$106:$A$110),1,5)</f>
        <v>-0.50966886565015723</v>
      </c>
      <c r="AP13" s="72">
        <f>INDEX(LINEST($AG13:$AM13,$Z13:$AF13^Данные!$A$106:$A$110),1,4)</f>
        <v>-2.8713376063323496E-3</v>
      </c>
      <c r="AQ13" s="72">
        <f>INDEX(LINEST($AG13:$AM13,$Z13:$AF13^Данные!$A$106:$A$110),1,3)</f>
        <v>2.0226121330231604E-5</v>
      </c>
      <c r="AR13" s="72">
        <f>INDEX(LINEST($AG13:$AM13,$Z13:$AF13^Данные!$A$106:$A$110),1,2)</f>
        <v>-6.9635254318311762E-8</v>
      </c>
      <c r="AS13" s="72">
        <f>INDEX(LINEST($AG13:$AM13,$Z13:$AF13^Данные!$A$106:$A$110),1,1)</f>
        <v>8.0279646801999809E-11</v>
      </c>
      <c r="AT13" s="73">
        <v>0</v>
      </c>
      <c r="AU13" s="44" t="str">
        <f t="shared" si="5"/>
        <v>Евросоюз</v>
      </c>
      <c r="AV13" s="41"/>
    </row>
    <row r="14" spans="1:48">
      <c r="A14" s="534" t="s">
        <v>677</v>
      </c>
      <c r="B14" s="54">
        <f>MATCH(A14,Вентиляторы!B$6:B$1864,0)</f>
        <v>8</v>
      </c>
      <c r="C14" s="55" t="e">
        <f ca="1">OFFSET(Вентиляторы!#REF!,B14-1,0)</f>
        <v>#REF!</v>
      </c>
      <c r="D14" s="55" t="e">
        <f t="shared" ca="1" si="0"/>
        <v>#REF!</v>
      </c>
      <c r="E14" s="502" t="e">
        <f ca="1">OFFSET(Вентиляторы!#REF!,B14-1,0)</f>
        <v>#REF!</v>
      </c>
      <c r="F14" s="503" t="s">
        <v>591</v>
      </c>
      <c r="G14" s="56" t="e">
        <f t="shared" si="1"/>
        <v>#REF!</v>
      </c>
      <c r="H14" s="56" t="e">
        <f ca="1">($G14/OFFSET(ПП_Свод!T$3,MATCH(M14,ПП_Свод!B$4:B$213,0),0)-1) &gt; -Задача_Допуск/100</f>
        <v>#REF!</v>
      </c>
      <c r="I14" s="56" t="str">
        <f t="shared" si="2"/>
        <v>Ø160=ЛОЖЬ</v>
      </c>
      <c r="J14" s="57" t="e">
        <f t="shared" ca="1" si="3"/>
        <v>#N/A</v>
      </c>
      <c r="K14" s="148">
        <v>160</v>
      </c>
      <c r="L14" s="148"/>
      <c r="M14" s="54" t="str">
        <f t="shared" si="4"/>
        <v>Ø160</v>
      </c>
      <c r="N14" s="148">
        <v>222</v>
      </c>
      <c r="O14" s="148">
        <v>4.4000000000000004</v>
      </c>
      <c r="P14" s="148" t="s">
        <v>123</v>
      </c>
      <c r="Q14" s="148">
        <v>0.09</v>
      </c>
      <c r="R14" s="148">
        <v>0.4</v>
      </c>
      <c r="S14" s="103" t="s">
        <v>458</v>
      </c>
      <c r="T14" s="103" t="b">
        <v>0</v>
      </c>
      <c r="U14" s="103" t="b">
        <v>0</v>
      </c>
      <c r="V14" s="100" t="s">
        <v>17</v>
      </c>
      <c r="W14" s="100" t="s">
        <v>1</v>
      </c>
      <c r="X14" s="100" t="s">
        <v>170</v>
      </c>
      <c r="Y14" s="100" t="s">
        <v>23</v>
      </c>
      <c r="Z14" s="58">
        <v>0</v>
      </c>
      <c r="AA14" s="59">
        <v>100</v>
      </c>
      <c r="AB14" s="59">
        <v>200</v>
      </c>
      <c r="AC14" s="59">
        <v>300</v>
      </c>
      <c r="AD14" s="59">
        <v>400</v>
      </c>
      <c r="AE14" s="59">
        <v>600</v>
      </c>
      <c r="AF14" s="60">
        <v>800</v>
      </c>
      <c r="AG14" s="58">
        <v>375</v>
      </c>
      <c r="AH14" s="59">
        <v>320</v>
      </c>
      <c r="AI14" s="59">
        <v>280</v>
      </c>
      <c r="AJ14" s="59">
        <v>250</v>
      </c>
      <c r="AK14" s="59">
        <v>220</v>
      </c>
      <c r="AL14" s="59">
        <v>145</v>
      </c>
      <c r="AM14" s="60">
        <v>50</v>
      </c>
      <c r="AN14" s="61">
        <f>INDEX(LINEST($AG14:$AM14,$Z14:$AF14^Данные!$A$106:$A$110),1,6)</f>
        <v>375.03233091204686</v>
      </c>
      <c r="AO14" s="74">
        <f>INDEX(LINEST($AG14:$AM14,$Z14:$AF14^Данные!$A$106:$A$110),1,5)</f>
        <v>-0.6516984596358113</v>
      </c>
      <c r="AP14" s="74">
        <f>INDEX(LINEST($AG14:$AM14,$Z14:$AF14^Данные!$A$106:$A$110),1,4)</f>
        <v>1.0821840916698572E-3</v>
      </c>
      <c r="AQ14" s="74">
        <f>INDEX(LINEST($AG14:$AM14,$Z14:$AF14^Данные!$A$106:$A$110),1,3)</f>
        <v>-7.5038077120377756E-7</v>
      </c>
      <c r="AR14" s="74">
        <f>INDEX(LINEST($AG14:$AM14,$Z14:$AF14^Данные!$A$106:$A$110),1,2)</f>
        <v>-1.2329488399992905E-9</v>
      </c>
      <c r="AS14" s="74">
        <f>INDEX(LINEST($AG14:$AM14,$Z14:$AF14^Данные!$A$106:$A$110),1,1)</f>
        <v>1.1991643953520806E-12</v>
      </c>
      <c r="AT14" s="75">
        <v>0</v>
      </c>
      <c r="AU14" s="54" t="str">
        <f>Производитель_Россия</f>
        <v>Россия</v>
      </c>
      <c r="AV14" s="41"/>
    </row>
    <row r="15" spans="1:48">
      <c r="A15" s="534" t="s">
        <v>678</v>
      </c>
      <c r="B15" s="54" t="e">
        <f>MATCH(A15,Вентиляторы!B$6:B$1864,0)</f>
        <v>#N/A</v>
      </c>
      <c r="C15" s="55" t="e">
        <f ca="1">OFFSET(Вентиляторы!#REF!,B15-1,0)</f>
        <v>#REF!</v>
      </c>
      <c r="D15" s="55" t="e">
        <f t="shared" ca="1" si="0"/>
        <v>#REF!</v>
      </c>
      <c r="E15" s="502" t="e">
        <f ca="1">OFFSET(Вентиляторы!#REF!,B15-1,0)</f>
        <v>#REF!</v>
      </c>
      <c r="F15" s="503" t="s">
        <v>591</v>
      </c>
      <c r="G15" s="56" t="e">
        <f t="shared" si="1"/>
        <v>#REF!</v>
      </c>
      <c r="H15" s="56" t="e">
        <f ca="1">($G15/OFFSET(ПП_Свод!T$3,MATCH(M15,ПП_Свод!B$4:B$213,0),0)-1) &gt; -Задача_Допуск/100</f>
        <v>#REF!</v>
      </c>
      <c r="I15" s="56" t="str">
        <f t="shared" si="2"/>
        <v>Ø160=ЛОЖЬ</v>
      </c>
      <c r="J15" s="57" t="e">
        <f t="shared" ca="1" si="3"/>
        <v>#N/A</v>
      </c>
      <c r="K15" s="148">
        <v>160</v>
      </c>
      <c r="L15" s="148"/>
      <c r="M15" s="54" t="str">
        <f t="shared" si="4"/>
        <v>Ø160</v>
      </c>
      <c r="N15" s="148">
        <v>217</v>
      </c>
      <c r="O15" s="148">
        <v>4</v>
      </c>
      <c r="P15" s="148" t="s">
        <v>123</v>
      </c>
      <c r="Q15" s="148">
        <v>0.1</v>
      </c>
      <c r="R15" s="148">
        <v>0.41</v>
      </c>
      <c r="S15" s="103" t="s">
        <v>458</v>
      </c>
      <c r="T15" s="103" t="b">
        <v>0</v>
      </c>
      <c r="U15" s="103" t="b">
        <v>0</v>
      </c>
      <c r="V15" s="100" t="s">
        <v>17</v>
      </c>
      <c r="W15" s="100" t="s">
        <v>1</v>
      </c>
      <c r="X15" s="100" t="s">
        <v>170</v>
      </c>
      <c r="Y15" s="100" t="s">
        <v>171</v>
      </c>
      <c r="Z15" s="58">
        <v>0</v>
      </c>
      <c r="AA15" s="59">
        <v>50</v>
      </c>
      <c r="AB15" s="59">
        <v>125</v>
      </c>
      <c r="AC15" s="59">
        <v>200</v>
      </c>
      <c r="AD15" s="59">
        <v>250</v>
      </c>
      <c r="AE15" s="59">
        <v>375</v>
      </c>
      <c r="AF15" s="60">
        <v>500</v>
      </c>
      <c r="AG15" s="58">
        <v>370</v>
      </c>
      <c r="AH15" s="59">
        <v>360</v>
      </c>
      <c r="AI15" s="59">
        <v>335</v>
      </c>
      <c r="AJ15" s="59">
        <v>300</v>
      </c>
      <c r="AK15" s="59">
        <v>260</v>
      </c>
      <c r="AL15" s="59">
        <v>180</v>
      </c>
      <c r="AM15" s="60">
        <v>100</v>
      </c>
      <c r="AN15" s="61">
        <f>INDEX(LINEST($AG15:$AM15,$Z15:$AF15^Данные!$A$106:$A$110),1,6)</f>
        <v>370.32738708770455</v>
      </c>
      <c r="AO15" s="74">
        <f>INDEX(LINEST($AG15:$AM15,$Z15:$AF15^Данные!$A$106:$A$110),1,5)</f>
        <v>-0.30750878519999314</v>
      </c>
      <c r="AP15" s="74">
        <f>INDEX(LINEST($AG15:$AM15,$Z15:$AF15^Данные!$A$106:$A$110),1,4)</f>
        <v>2.7410859442258857E-3</v>
      </c>
      <c r="AQ15" s="74">
        <f>INDEX(LINEST($AG15:$AM15,$Z15:$AF15^Данные!$A$106:$A$110),1,3)</f>
        <v>-2.7229355200919624E-5</v>
      </c>
      <c r="AR15" s="74">
        <f>INDEX(LINEST($AG15:$AM15,$Z15:$AF15^Данные!$A$106:$A$110),1,2)</f>
        <v>7.2369740114791389E-8</v>
      </c>
      <c r="AS15" s="74">
        <f>INDEX(LINEST($AG15:$AM15,$Z15:$AF15^Данные!$A$106:$A$110),1,1)</f>
        <v>-6.1480306774665694E-11</v>
      </c>
      <c r="AT15" s="75">
        <v>0</v>
      </c>
      <c r="AU15" s="54" t="str">
        <f t="shared" ref="AU15:AU20" si="6">Производитель_Европа</f>
        <v>Евросоюз</v>
      </c>
      <c r="AV15" s="41"/>
    </row>
    <row r="16" spans="1:48">
      <c r="A16" s="534" t="s">
        <v>679</v>
      </c>
      <c r="B16" s="54" t="e">
        <f>MATCH(A16,Вентиляторы!B$6:B$1864,0)</f>
        <v>#N/A</v>
      </c>
      <c r="C16" s="55" t="e">
        <f ca="1">OFFSET(Вентиляторы!#REF!,B16-1,0)</f>
        <v>#REF!</v>
      </c>
      <c r="D16" s="55" t="e">
        <f t="shared" ca="1" si="0"/>
        <v>#REF!</v>
      </c>
      <c r="E16" s="502" t="e">
        <f ca="1">OFFSET(Вентиляторы!#REF!,B16-1,0)</f>
        <v>#REF!</v>
      </c>
      <c r="F16" s="503" t="s">
        <v>591</v>
      </c>
      <c r="G16" s="56" t="e">
        <f t="shared" si="1"/>
        <v>#REF!</v>
      </c>
      <c r="H16" s="56" t="e">
        <f ca="1">($G16/OFFSET(ПП_Свод!T$3,MATCH(M16,ПП_Свод!B$4:B$213,0),0)-1) &gt; -Задача_Допуск/100</f>
        <v>#REF!</v>
      </c>
      <c r="I16" s="56" t="str">
        <f t="shared" si="2"/>
        <v>Ø160=ЛОЖЬ</v>
      </c>
      <c r="J16" s="57" t="e">
        <f t="shared" ca="1" si="3"/>
        <v>#N/A</v>
      </c>
      <c r="K16" s="148">
        <v>160</v>
      </c>
      <c r="L16" s="148"/>
      <c r="M16" s="54" t="str">
        <f t="shared" si="4"/>
        <v>Ø160</v>
      </c>
      <c r="N16" s="148">
        <v>400</v>
      </c>
      <c r="O16" s="148">
        <v>13.6</v>
      </c>
      <c r="P16" s="148" t="s">
        <v>123</v>
      </c>
      <c r="Q16" s="148">
        <v>0.13500000000000001</v>
      </c>
      <c r="R16" s="148">
        <v>0.59</v>
      </c>
      <c r="S16" s="103" t="s">
        <v>458</v>
      </c>
      <c r="T16" s="103" t="b">
        <v>1</v>
      </c>
      <c r="U16" s="103" t="b">
        <v>0</v>
      </c>
      <c r="V16" s="100" t="s">
        <v>17</v>
      </c>
      <c r="W16" s="100" t="s">
        <v>1</v>
      </c>
      <c r="X16" s="100" t="s">
        <v>170</v>
      </c>
      <c r="Y16" s="100" t="s">
        <v>23</v>
      </c>
      <c r="Z16" s="58">
        <v>0</v>
      </c>
      <c r="AA16" s="59">
        <v>110</v>
      </c>
      <c r="AB16" s="59">
        <v>150</v>
      </c>
      <c r="AC16" s="59">
        <v>250</v>
      </c>
      <c r="AD16" s="59">
        <v>375</v>
      </c>
      <c r="AE16" s="59">
        <v>400</v>
      </c>
      <c r="AF16" s="60">
        <v>463</v>
      </c>
      <c r="AG16" s="58">
        <v>385</v>
      </c>
      <c r="AH16" s="59">
        <v>355</v>
      </c>
      <c r="AI16" s="59">
        <v>350</v>
      </c>
      <c r="AJ16" s="59">
        <v>330</v>
      </c>
      <c r="AK16" s="59">
        <v>150</v>
      </c>
      <c r="AL16" s="59">
        <v>100</v>
      </c>
      <c r="AM16" s="60">
        <v>0</v>
      </c>
      <c r="AN16" s="61">
        <f>INDEX(LINEST($AG16:$AM16,$Z16:$AF16^Данные!$A$106:$A$110),1,6)</f>
        <v>385.03064973949108</v>
      </c>
      <c r="AO16" s="74">
        <f>INDEX(LINEST($AG16:$AM16,$Z16:$AF16^Данные!$A$106:$A$110),1,5)</f>
        <v>-0.10613683519305708</v>
      </c>
      <c r="AP16" s="74">
        <f>INDEX(LINEST($AG16:$AM16,$Z16:$AF16^Данные!$A$106:$A$110),1,4)</f>
        <v>-6.362790601252527E-3</v>
      </c>
      <c r="AQ16" s="74">
        <f>INDEX(LINEST($AG16:$AM16,$Z16:$AF16^Данные!$A$106:$A$110),1,3)</f>
        <v>6.5758456482403475E-5</v>
      </c>
      <c r="AR16" s="74">
        <f>INDEX(LINEST($AG16:$AM16,$Z16:$AF16^Данные!$A$106:$A$110),1,2)</f>
        <v>-2.2623622776015737E-7</v>
      </c>
      <c r="AS16" s="74">
        <f>INDEX(LINEST($AG16:$AM16,$Z16:$AF16^Данные!$A$106:$A$110),1,1)</f>
        <v>2.3020460882103535E-10</v>
      </c>
      <c r="AT16" s="75">
        <v>0</v>
      </c>
      <c r="AU16" s="54" t="str">
        <f t="shared" si="6"/>
        <v>Евросоюз</v>
      </c>
      <c r="AV16" s="41"/>
    </row>
    <row r="17" spans="1:48">
      <c r="A17" s="534" t="s">
        <v>680</v>
      </c>
      <c r="B17" s="54" t="e">
        <f>MATCH(A17,Вентиляторы!B$6:B$1864,0)</f>
        <v>#N/A</v>
      </c>
      <c r="C17" s="55" t="e">
        <f ca="1">OFFSET(Вентиляторы!#REF!,B17-1,0)</f>
        <v>#REF!</v>
      </c>
      <c r="D17" s="55" t="e">
        <f t="shared" ca="1" si="0"/>
        <v>#REF!</v>
      </c>
      <c r="E17" s="502" t="e">
        <f ca="1">OFFSET(Вентиляторы!#REF!,B17-1,0)</f>
        <v>#REF!</v>
      </c>
      <c r="F17" s="503" t="s">
        <v>591</v>
      </c>
      <c r="G17" s="56" t="e">
        <f t="shared" si="1"/>
        <v>#REF!</v>
      </c>
      <c r="H17" s="56" t="e">
        <f ca="1">($G17/OFFSET(ПП_Свод!T$3,MATCH(M17,ПП_Свод!B$4:B$213,0),0)-1) &gt; -Задача_Допуск/100</f>
        <v>#REF!</v>
      </c>
      <c r="I17" s="56" t="str">
        <f t="shared" si="2"/>
        <v>Ø160=ЛОЖЬ</v>
      </c>
      <c r="J17" s="57" t="e">
        <f t="shared" ca="1" si="3"/>
        <v>#N/A</v>
      </c>
      <c r="K17" s="148">
        <v>160</v>
      </c>
      <c r="L17" s="148"/>
      <c r="M17" s="54" t="str">
        <f t="shared" si="4"/>
        <v>Ø160</v>
      </c>
      <c r="N17" s="148">
        <v>200</v>
      </c>
      <c r="O17" s="148">
        <v>2.2000000000000002</v>
      </c>
      <c r="P17" s="148" t="s">
        <v>123</v>
      </c>
      <c r="Q17" s="148">
        <v>0.111</v>
      </c>
      <c r="R17" s="148">
        <v>0.88</v>
      </c>
      <c r="S17" s="103" t="s">
        <v>458</v>
      </c>
      <c r="T17" s="103" t="b">
        <v>0</v>
      </c>
      <c r="U17" s="103" t="b">
        <v>1</v>
      </c>
      <c r="V17" s="100" t="s">
        <v>170</v>
      </c>
      <c r="W17" s="100" t="s">
        <v>170</v>
      </c>
      <c r="X17" s="100" t="s">
        <v>170</v>
      </c>
      <c r="Y17" s="100" t="s">
        <v>23</v>
      </c>
      <c r="Z17" s="58">
        <v>0</v>
      </c>
      <c r="AA17" s="59">
        <v>180</v>
      </c>
      <c r="AB17" s="59">
        <v>250</v>
      </c>
      <c r="AC17" s="59">
        <v>300</v>
      </c>
      <c r="AD17" s="59">
        <v>350</v>
      </c>
      <c r="AE17" s="59">
        <v>400</v>
      </c>
      <c r="AF17" s="60">
        <v>510</v>
      </c>
      <c r="AG17" s="58">
        <v>620</v>
      </c>
      <c r="AH17" s="59">
        <v>400</v>
      </c>
      <c r="AI17" s="59">
        <v>318</v>
      </c>
      <c r="AJ17" s="59">
        <v>259</v>
      </c>
      <c r="AK17" s="59">
        <v>200</v>
      </c>
      <c r="AL17" s="59">
        <v>140</v>
      </c>
      <c r="AM17" s="60">
        <v>0</v>
      </c>
      <c r="AN17" s="61">
        <f>INDEX(LINEST($AG17:$AM17,$Z17:$AF17^Данные!$A$106:$A$110),1,6)</f>
        <v>619.99980160119412</v>
      </c>
      <c r="AO17" s="74">
        <f>INDEX(LINEST($AG17:$AM17,$Z17:$AF17^Данные!$A$106:$A$110),1,5)</f>
        <v>-1.3546520387702794</v>
      </c>
      <c r="AP17" s="74">
        <f>INDEX(LINEST($AG17:$AM17,$Z17:$AF17^Данные!$A$106:$A$110),1,4)</f>
        <v>1.4341015996159258E-3</v>
      </c>
      <c r="AQ17" s="74">
        <f>INDEX(LINEST($AG17:$AM17,$Z17:$AF17^Данные!$A$106:$A$110),1,3)</f>
        <v>-5.4827859659387701E-6</v>
      </c>
      <c r="AR17" s="74">
        <f>INDEX(LINEST($AG17:$AM17,$Z17:$AF17^Данные!$A$106:$A$110),1,2)</f>
        <v>1.0349700909252322E-8</v>
      </c>
      <c r="AS17" s="74">
        <f>INDEX(LINEST($AG17:$AM17,$Z17:$AF17^Данные!$A$106:$A$110),1,1)</f>
        <v>-7.97099046461535E-12</v>
      </c>
      <c r="AT17" s="75">
        <v>0</v>
      </c>
      <c r="AU17" s="54" t="str">
        <f t="shared" si="6"/>
        <v>Евросоюз</v>
      </c>
      <c r="AV17" s="41"/>
    </row>
    <row r="18" spans="1:48">
      <c r="A18" s="534" t="s">
        <v>681</v>
      </c>
      <c r="B18" s="54" t="e">
        <f>MATCH(A18,Вентиляторы!B$6:B$1864,0)</f>
        <v>#N/A</v>
      </c>
      <c r="C18" s="55" t="e">
        <f ca="1">OFFSET(Вентиляторы!#REF!,B18-1,0)</f>
        <v>#REF!</v>
      </c>
      <c r="D18" s="55" t="e">
        <f t="shared" ca="1" si="0"/>
        <v>#REF!</v>
      </c>
      <c r="E18" s="502" t="e">
        <f ca="1">OFFSET(Вентиляторы!#REF!,B18-1,0)</f>
        <v>#REF!</v>
      </c>
      <c r="F18" s="503" t="s">
        <v>591</v>
      </c>
      <c r="G18" s="56" t="e">
        <f t="shared" si="1"/>
        <v>#REF!</v>
      </c>
      <c r="H18" s="56" t="e">
        <f ca="1">($G18/OFFSET(ПП_Свод!T$3,MATCH(M18,ПП_Свод!B$4:B$213,0),0)-1) &gt; -Задача_Допуск/100</f>
        <v>#REF!</v>
      </c>
      <c r="I18" s="56" t="str">
        <f t="shared" si="2"/>
        <v>Ø160=ЛОЖЬ</v>
      </c>
      <c r="J18" s="57" t="e">
        <f t="shared" ca="1" si="3"/>
        <v>#N/A</v>
      </c>
      <c r="K18" s="148">
        <v>160</v>
      </c>
      <c r="L18" s="148"/>
      <c r="M18" s="54" t="str">
        <f t="shared" si="4"/>
        <v>Ø160</v>
      </c>
      <c r="N18" s="148">
        <v>400</v>
      </c>
      <c r="O18" s="148">
        <v>14</v>
      </c>
      <c r="P18" s="148" t="s">
        <v>123</v>
      </c>
      <c r="Q18" s="148">
        <v>0.215</v>
      </c>
      <c r="R18" s="148">
        <v>0.93</v>
      </c>
      <c r="S18" s="103" t="s">
        <v>458</v>
      </c>
      <c r="T18" s="103" t="b">
        <v>1</v>
      </c>
      <c r="U18" s="103" t="b">
        <v>0</v>
      </c>
      <c r="V18" s="100" t="s">
        <v>17</v>
      </c>
      <c r="W18" s="100" t="s">
        <v>1</v>
      </c>
      <c r="X18" s="100" t="s">
        <v>170</v>
      </c>
      <c r="Y18" s="100" t="s">
        <v>23</v>
      </c>
      <c r="Z18" s="58">
        <v>0</v>
      </c>
      <c r="AA18" s="59">
        <v>50</v>
      </c>
      <c r="AB18" s="59">
        <v>100</v>
      </c>
      <c r="AC18" s="59">
        <v>250</v>
      </c>
      <c r="AD18" s="59">
        <v>380</v>
      </c>
      <c r="AE18" s="59">
        <v>500</v>
      </c>
      <c r="AF18" s="60">
        <v>563</v>
      </c>
      <c r="AG18" s="58">
        <v>565</v>
      </c>
      <c r="AH18" s="59">
        <v>580</v>
      </c>
      <c r="AI18" s="59">
        <v>540</v>
      </c>
      <c r="AJ18" s="59">
        <v>470</v>
      </c>
      <c r="AK18" s="59">
        <v>340</v>
      </c>
      <c r="AL18" s="59">
        <v>165</v>
      </c>
      <c r="AM18" s="60">
        <v>0</v>
      </c>
      <c r="AN18" s="61">
        <f>INDEX(LINEST($AG18:$AM18,$Z18:$AF18^Данные!$A$106:$A$110),1,6)</f>
        <v>568.72695030949217</v>
      </c>
      <c r="AO18" s="74">
        <f>INDEX(LINEST($AG18:$AM18,$Z18:$AF18^Данные!$A$106:$A$110),1,5)</f>
        <v>0.1076715925824808</v>
      </c>
      <c r="AP18" s="74">
        <f>INDEX(LINEST($AG18:$AM18,$Z18:$AF18^Данные!$A$106:$A$110),1,4)</f>
        <v>-3.0882611684348734E-3</v>
      </c>
      <c r="AQ18" s="74">
        <f>INDEX(LINEST($AG18:$AM18,$Z18:$AF18^Данные!$A$106:$A$110),1,3)</f>
        <v>4.1855194812140137E-6</v>
      </c>
      <c r="AR18" s="74">
        <f>INDEX(LINEST($AG18:$AM18,$Z18:$AF18^Данные!$A$106:$A$110),1,2)</f>
        <v>1.0516017273068828E-9</v>
      </c>
      <c r="AS18" s="74">
        <f>INDEX(LINEST($AG18:$AM18,$Z18:$AF18^Данные!$A$106:$A$110),1,1)</f>
        <v>-8.874949923121713E-12</v>
      </c>
      <c r="AT18" s="75">
        <v>0</v>
      </c>
      <c r="AU18" s="54" t="str">
        <f t="shared" si="6"/>
        <v>Евросоюз</v>
      </c>
      <c r="AV18" s="41"/>
    </row>
    <row r="19" spans="1:48">
      <c r="A19" s="534" t="s">
        <v>682</v>
      </c>
      <c r="B19" s="54" t="e">
        <f>MATCH(A19,Вентиляторы!B$6:B$1864,0)</f>
        <v>#N/A</v>
      </c>
      <c r="C19" s="55" t="e">
        <f ca="1">OFFSET(Вентиляторы!#REF!,B19-1,0)</f>
        <v>#REF!</v>
      </c>
      <c r="D19" s="55" t="e">
        <f t="shared" ca="1" si="0"/>
        <v>#REF!</v>
      </c>
      <c r="E19" s="502" t="e">
        <f ca="1">OFFSET(Вентиляторы!#REF!,B19-1,0)</f>
        <v>#REF!</v>
      </c>
      <c r="F19" s="503" t="s">
        <v>591</v>
      </c>
      <c r="G19" s="56" t="e">
        <f t="shared" si="1"/>
        <v>#REF!</v>
      </c>
      <c r="H19" s="56" t="e">
        <f ca="1">($G19/OFFSET(ПП_Свод!T$3,MATCH(M19,ПП_Свод!B$4:B$213,0),0)-1) &gt; -Задача_Допуск/100</f>
        <v>#REF!</v>
      </c>
      <c r="I19" s="56" t="str">
        <f t="shared" si="2"/>
        <v>Ø160=ЛОЖЬ</v>
      </c>
      <c r="J19" s="57" t="e">
        <f t="shared" ca="1" si="3"/>
        <v>#N/A</v>
      </c>
      <c r="K19" s="148">
        <v>160</v>
      </c>
      <c r="L19" s="148"/>
      <c r="M19" s="54" t="str">
        <f t="shared" si="4"/>
        <v>Ø160</v>
      </c>
      <c r="N19" s="148">
        <v>550</v>
      </c>
      <c r="O19" s="148">
        <v>19</v>
      </c>
      <c r="P19" s="148" t="s">
        <v>123</v>
      </c>
      <c r="Q19" s="148">
        <v>0.111</v>
      </c>
      <c r="R19" s="148">
        <v>0.88</v>
      </c>
      <c r="S19" s="103" t="s">
        <v>458</v>
      </c>
      <c r="T19" s="103" t="b">
        <v>1</v>
      </c>
      <c r="U19" s="103" t="b">
        <v>1</v>
      </c>
      <c r="V19" s="100" t="s">
        <v>170</v>
      </c>
      <c r="W19" s="100" t="s">
        <v>170</v>
      </c>
      <c r="X19" s="100" t="s">
        <v>170</v>
      </c>
      <c r="Y19" s="100" t="s">
        <v>23</v>
      </c>
      <c r="Z19" s="58">
        <v>0</v>
      </c>
      <c r="AA19" s="59">
        <v>100</v>
      </c>
      <c r="AB19" s="59">
        <v>225</v>
      </c>
      <c r="AC19" s="59">
        <v>250</v>
      </c>
      <c r="AD19" s="59">
        <v>375</v>
      </c>
      <c r="AE19" s="59">
        <v>500</v>
      </c>
      <c r="AF19" s="60">
        <v>575</v>
      </c>
      <c r="AG19" s="58">
        <v>740</v>
      </c>
      <c r="AH19" s="59">
        <v>710</v>
      </c>
      <c r="AI19" s="59">
        <v>600</v>
      </c>
      <c r="AJ19" s="59">
        <v>570</v>
      </c>
      <c r="AK19" s="59">
        <v>375</v>
      </c>
      <c r="AL19" s="59">
        <v>125</v>
      </c>
      <c r="AM19" s="60">
        <v>0</v>
      </c>
      <c r="AN19" s="61">
        <f>INDEX(LINEST($AG19:$AM19,$Z19:$AF19^Данные!$A$106:$A$110),1,6)</f>
        <v>739.99987486243185</v>
      </c>
      <c r="AO19" s="74">
        <f>INDEX(LINEST($AG19:$AM19,$Z19:$AF19^Данные!$A$106:$A$110),1,5)</f>
        <v>0.10708913671675269</v>
      </c>
      <c r="AP19" s="74">
        <f>INDEX(LINEST($AG19:$AM19,$Z19:$AF19^Данные!$A$106:$A$110),1,4)</f>
        <v>-5.3477260850027875E-3</v>
      </c>
      <c r="AQ19" s="74">
        <f>INDEX(LINEST($AG19:$AM19,$Z19:$AF19^Данные!$A$106:$A$110),1,3)</f>
        <v>1.6208711447335663E-5</v>
      </c>
      <c r="AR19" s="74">
        <f>INDEX(LINEST($AG19:$AM19,$Z19:$AF19^Данные!$A$106:$A$110),1,2)</f>
        <v>-3.7562501267321785E-8</v>
      </c>
      <c r="AS19" s="74">
        <f>INDEX(LINEST($AG19:$AM19,$Z19:$AF19^Данные!$A$106:$A$110),1,1)</f>
        <v>3.167856208114935E-11</v>
      </c>
      <c r="AT19" s="75">
        <v>0</v>
      </c>
      <c r="AU19" s="63" t="str">
        <f t="shared" si="6"/>
        <v>Евросоюз</v>
      </c>
      <c r="AV19" s="41"/>
    </row>
    <row r="20" spans="1:48">
      <c r="A20" s="535" t="s">
        <v>683</v>
      </c>
      <c r="B20" s="44" t="e">
        <f>MATCH(A20,Вентиляторы!B$6:B$1864,0)</f>
        <v>#N/A</v>
      </c>
      <c r="C20" s="45" t="e">
        <f ca="1">OFFSET(Вентиляторы!#REF!,B20-1,0)</f>
        <v>#REF!</v>
      </c>
      <c r="D20" s="45" t="e">
        <f t="shared" ca="1" si="0"/>
        <v>#REF!</v>
      </c>
      <c r="E20" s="486" t="e">
        <f ca="1">OFFSET(Вентиляторы!#REF!,B20-1,0)</f>
        <v>#REF!</v>
      </c>
      <c r="F20" s="501" t="s">
        <v>591</v>
      </c>
      <c r="G20" s="46" t="e">
        <f t="shared" si="1"/>
        <v>#REF!</v>
      </c>
      <c r="H20" s="46" t="e">
        <f ca="1">($G20/OFFSET(ПП_Свод!T$3,MATCH(M20,ПП_Свод!B$4:B$213,0),0)-1) &gt; -Задача_Допуск/100</f>
        <v>#REF!</v>
      </c>
      <c r="I20" s="46" t="str">
        <f t="shared" si="2"/>
        <v>Ø200=ЛОЖЬ</v>
      </c>
      <c r="J20" s="47" t="e">
        <f t="shared" ca="1" si="3"/>
        <v>#N/A</v>
      </c>
      <c r="K20" s="147">
        <v>200</v>
      </c>
      <c r="L20" s="147"/>
      <c r="M20" s="44" t="str">
        <f t="shared" si="4"/>
        <v>Ø200</v>
      </c>
      <c r="N20" s="147">
        <v>219</v>
      </c>
      <c r="O20" s="147">
        <v>4.5</v>
      </c>
      <c r="P20" s="147" t="s">
        <v>123</v>
      </c>
      <c r="Q20" s="147">
        <v>0.1</v>
      </c>
      <c r="R20" s="147">
        <v>0.42</v>
      </c>
      <c r="S20" s="85" t="s">
        <v>458</v>
      </c>
      <c r="T20" s="85" t="b">
        <v>0</v>
      </c>
      <c r="U20" s="85" t="b">
        <v>0</v>
      </c>
      <c r="V20" s="80" t="s">
        <v>17</v>
      </c>
      <c r="W20" s="80" t="s">
        <v>1</v>
      </c>
      <c r="X20" s="80" t="s">
        <v>170</v>
      </c>
      <c r="Y20" s="80" t="s">
        <v>171</v>
      </c>
      <c r="Z20" s="48">
        <v>0</v>
      </c>
      <c r="AA20" s="49">
        <v>50</v>
      </c>
      <c r="AB20" s="49">
        <v>125</v>
      </c>
      <c r="AC20" s="49">
        <v>250</v>
      </c>
      <c r="AD20" s="49">
        <v>375</v>
      </c>
      <c r="AE20" s="49">
        <v>500</v>
      </c>
      <c r="AF20" s="50">
        <v>625</v>
      </c>
      <c r="AG20" s="48">
        <v>400</v>
      </c>
      <c r="AH20" s="49">
        <v>375</v>
      </c>
      <c r="AI20" s="49">
        <v>350</v>
      </c>
      <c r="AJ20" s="49">
        <v>300</v>
      </c>
      <c r="AK20" s="49">
        <v>235</v>
      </c>
      <c r="AL20" s="49">
        <v>160</v>
      </c>
      <c r="AM20" s="50">
        <v>70</v>
      </c>
      <c r="AN20" s="51">
        <f>INDEX(LINEST($AG20:$AM20,$Z20:$AF20^Данные!$A$106:$A$110),1,6)</f>
        <v>399.77250977948825</v>
      </c>
      <c r="AO20" s="72">
        <f>INDEX(LINEST($AG20:$AM20,$Z20:$AF20^Данные!$A$106:$A$110),1,5)</f>
        <v>-0.58755398091998712</v>
      </c>
      <c r="AP20" s="72">
        <f>INDEX(LINEST($AG20:$AM20,$Z20:$AF20^Данные!$A$106:$A$110),1,4)</f>
        <v>2.6420090201572412E-3</v>
      </c>
      <c r="AQ20" s="72">
        <f>INDEX(LINEST($AG20:$AM20,$Z20:$AF20^Данные!$A$106:$A$110),1,3)</f>
        <v>-1.1662940864890395E-5</v>
      </c>
      <c r="AR20" s="72">
        <f>INDEX(LINEST($AG20:$AM20,$Z20:$AF20^Данные!$A$106:$A$110),1,2)</f>
        <v>1.9549870831673624E-8</v>
      </c>
      <c r="AS20" s="72">
        <f>INDEX(LINEST($AG20:$AM20,$Z20:$AF20^Данные!$A$106:$A$110),1,1)</f>
        <v>-1.1851862712680557E-11</v>
      </c>
      <c r="AT20" s="73">
        <v>0</v>
      </c>
      <c r="AU20" s="44" t="str">
        <f t="shared" si="6"/>
        <v>Евросоюз</v>
      </c>
      <c r="AV20" s="41"/>
    </row>
    <row r="21" spans="1:48">
      <c r="A21" s="534" t="s">
        <v>684</v>
      </c>
      <c r="B21" s="54">
        <f>MATCH(A21,Вентиляторы!B$6:B$1864,0)</f>
        <v>9</v>
      </c>
      <c r="C21" s="55" t="e">
        <f ca="1">OFFSET(Вентиляторы!#REF!,B21-1,0)</f>
        <v>#REF!</v>
      </c>
      <c r="D21" s="55" t="e">
        <f t="shared" ca="1" si="0"/>
        <v>#REF!</v>
      </c>
      <c r="E21" s="502" t="e">
        <f ca="1">OFFSET(Вентиляторы!#REF!,B21-1,0)</f>
        <v>#REF!</v>
      </c>
      <c r="F21" s="503" t="s">
        <v>591</v>
      </c>
      <c r="G21" s="56" t="e">
        <f t="shared" si="1"/>
        <v>#REF!</v>
      </c>
      <c r="H21" s="56" t="e">
        <f ca="1">($G21/OFFSET(ПП_Свод!T$3,MATCH(M21,ПП_Свод!B$4:B$213,0),0)-1) &gt; -Задача_Допуск/100</f>
        <v>#REF!</v>
      </c>
      <c r="I21" s="56" t="str">
        <f t="shared" si="2"/>
        <v>Ø200=ЛОЖЬ</v>
      </c>
      <c r="J21" s="57" t="e">
        <f t="shared" ca="1" si="3"/>
        <v>#N/A</v>
      </c>
      <c r="K21" s="148">
        <v>200</v>
      </c>
      <c r="L21" s="148"/>
      <c r="M21" s="54" t="str">
        <f t="shared" si="4"/>
        <v>Ø200</v>
      </c>
      <c r="N21" s="148">
        <v>223</v>
      </c>
      <c r="O21" s="148">
        <v>5.2</v>
      </c>
      <c r="P21" s="148" t="s">
        <v>123</v>
      </c>
      <c r="Q21" s="148">
        <v>0.14000000000000001</v>
      </c>
      <c r="R21" s="148">
        <v>0.6</v>
      </c>
      <c r="S21" s="103" t="s">
        <v>458</v>
      </c>
      <c r="T21" s="103" t="b">
        <v>0</v>
      </c>
      <c r="U21" s="103" t="b">
        <v>0</v>
      </c>
      <c r="V21" s="100" t="s">
        <v>17</v>
      </c>
      <c r="W21" s="100" t="s">
        <v>1</v>
      </c>
      <c r="X21" s="100" t="s">
        <v>170</v>
      </c>
      <c r="Y21" s="100" t="s">
        <v>24</v>
      </c>
      <c r="Z21" s="58">
        <v>0</v>
      </c>
      <c r="AA21" s="59">
        <v>80</v>
      </c>
      <c r="AB21" s="59">
        <v>200</v>
      </c>
      <c r="AC21" s="59">
        <v>500</v>
      </c>
      <c r="AD21" s="59">
        <v>800</v>
      </c>
      <c r="AE21" s="59">
        <v>1000</v>
      </c>
      <c r="AF21" s="60">
        <v>1100</v>
      </c>
      <c r="AG21" s="58">
        <v>500</v>
      </c>
      <c r="AH21" s="59">
        <v>435</v>
      </c>
      <c r="AI21" s="59">
        <v>400</v>
      </c>
      <c r="AJ21" s="59">
        <v>325</v>
      </c>
      <c r="AK21" s="59">
        <v>200</v>
      </c>
      <c r="AL21" s="59">
        <v>100</v>
      </c>
      <c r="AM21" s="60">
        <v>30</v>
      </c>
      <c r="AN21" s="61">
        <f>INDEX(LINEST($AG21:$AM21,$Z21:$AF21^Данные!$A$106:$A$110),1,6)</f>
        <v>498.80240789999061</v>
      </c>
      <c r="AO21" s="74">
        <f>INDEX(LINEST($AG21:$AM21,$Z21:$AF21^Данные!$A$106:$A$110),1,5)</f>
        <v>-1.0306530224018331</v>
      </c>
      <c r="AP21" s="74">
        <f>INDEX(LINEST($AG21:$AM21,$Z21:$AF21^Данные!$A$106:$A$110),1,4)</f>
        <v>4.0296237475627369E-3</v>
      </c>
      <c r="AQ21" s="74">
        <f>INDEX(LINEST($AG21:$AM21,$Z21:$AF21^Данные!$A$106:$A$110),1,3)</f>
        <v>-8.4933596619664891E-6</v>
      </c>
      <c r="AR21" s="74">
        <f>INDEX(LINEST($AG21:$AM21,$Z21:$AF21^Данные!$A$106:$A$110),1,2)</f>
        <v>7.6160705575924844E-9</v>
      </c>
      <c r="AS21" s="74">
        <f>INDEX(LINEST($AG21:$AM21,$Z21:$AF21^Данные!$A$106:$A$110),1,1)</f>
        <v>-2.5193385058086206E-12</v>
      </c>
      <c r="AT21" s="75">
        <v>0</v>
      </c>
      <c r="AU21" s="54" t="str">
        <f>Производитель_Россия</f>
        <v>Россия</v>
      </c>
      <c r="AV21" s="41"/>
    </row>
    <row r="22" spans="1:48">
      <c r="A22" s="534" t="s">
        <v>685</v>
      </c>
      <c r="B22" s="54" t="e">
        <f>MATCH(A22,Вентиляторы!B$6:B$1864,0)</f>
        <v>#N/A</v>
      </c>
      <c r="C22" s="55" t="e">
        <f ca="1">OFFSET(Вентиляторы!#REF!,B22-1,0)</f>
        <v>#REF!</v>
      </c>
      <c r="D22" s="55" t="e">
        <f t="shared" ca="1" si="0"/>
        <v>#REF!</v>
      </c>
      <c r="E22" s="502" t="e">
        <f ca="1">OFFSET(Вентиляторы!#REF!,B22-1,0)</f>
        <v>#REF!</v>
      </c>
      <c r="F22" s="503" t="s">
        <v>591</v>
      </c>
      <c r="G22" s="56" t="e">
        <f t="shared" si="1"/>
        <v>#REF!</v>
      </c>
      <c r="H22" s="56" t="e">
        <f ca="1">($G22/OFFSET(ПП_Свод!T$3,MATCH(M22,ПП_Свод!B$4:B$213,0),0)-1) &gt; -Задача_Допуск/100</f>
        <v>#REF!</v>
      </c>
      <c r="I22" s="56" t="str">
        <f t="shared" si="2"/>
        <v>Ø200=ЛОЖЬ</v>
      </c>
      <c r="J22" s="57" t="e">
        <f t="shared" ca="1" si="3"/>
        <v>#N/A</v>
      </c>
      <c r="K22" s="148">
        <v>200</v>
      </c>
      <c r="L22" s="148"/>
      <c r="M22" s="54" t="str">
        <f t="shared" si="4"/>
        <v>Ø200</v>
      </c>
      <c r="N22" s="148">
        <v>231</v>
      </c>
      <c r="O22" s="148">
        <v>5</v>
      </c>
      <c r="P22" s="148" t="s">
        <v>123</v>
      </c>
      <c r="Q22" s="148">
        <v>0.14000000000000001</v>
      </c>
      <c r="R22" s="148">
        <v>0.62</v>
      </c>
      <c r="S22" s="103" t="s">
        <v>458</v>
      </c>
      <c r="T22" s="103" t="b">
        <v>0</v>
      </c>
      <c r="U22" s="103" t="b">
        <v>0</v>
      </c>
      <c r="V22" s="100" t="s">
        <v>17</v>
      </c>
      <c r="W22" s="100" t="s">
        <v>1</v>
      </c>
      <c r="X22" s="100" t="s">
        <v>170</v>
      </c>
      <c r="Y22" s="100" t="s">
        <v>171</v>
      </c>
      <c r="Z22" s="58">
        <v>0</v>
      </c>
      <c r="AA22" s="59">
        <v>125</v>
      </c>
      <c r="AB22" s="59">
        <v>250</v>
      </c>
      <c r="AC22" s="59">
        <v>375</v>
      </c>
      <c r="AD22" s="59">
        <v>500</v>
      </c>
      <c r="AE22" s="59">
        <v>750</v>
      </c>
      <c r="AF22" s="60">
        <v>963</v>
      </c>
      <c r="AG22" s="58">
        <v>530</v>
      </c>
      <c r="AH22" s="59">
        <v>470</v>
      </c>
      <c r="AI22" s="59">
        <v>420</v>
      </c>
      <c r="AJ22" s="59">
        <v>365</v>
      </c>
      <c r="AK22" s="59">
        <v>310</v>
      </c>
      <c r="AL22" s="59">
        <v>160</v>
      </c>
      <c r="AM22" s="60">
        <v>0</v>
      </c>
      <c r="AN22" s="61">
        <f>INDEX(LINEST($AG22:$AM22,$Z22:$AF22^Данные!$A$106:$A$110),1,6)</f>
        <v>529.87130944424212</v>
      </c>
      <c r="AO22" s="74">
        <f>INDEX(LINEST($AG22:$AM22,$Z22:$AF22^Данные!$A$106:$A$110),1,5)</f>
        <v>-0.51595687768854159</v>
      </c>
      <c r="AP22" s="74">
        <f>INDEX(LINEST($AG22:$AM22,$Z22:$AF22^Данные!$A$106:$A$110),1,4)</f>
        <v>3.9275457764131389E-4</v>
      </c>
      <c r="AQ22" s="74">
        <f>INDEX(LINEST($AG22:$AM22,$Z22:$AF22^Данные!$A$106:$A$110),1,3)</f>
        <v>-3.6440990007356881E-7</v>
      </c>
      <c r="AR22" s="74">
        <f>INDEX(LINEST($AG22:$AM22,$Z22:$AF22^Данные!$A$106:$A$110),1,2)</f>
        <v>-4.2009748058263751E-10</v>
      </c>
      <c r="AS22" s="74">
        <f>INDEX(LINEST($AG22:$AM22,$Z22:$AF22^Данные!$A$106:$A$110),1,1)</f>
        <v>3.4953021828174343E-13</v>
      </c>
      <c r="AT22" s="75">
        <v>0</v>
      </c>
      <c r="AU22" s="54" t="str">
        <f t="shared" ref="AU22:AU27" si="7">Производитель_Европа</f>
        <v>Евросоюз</v>
      </c>
      <c r="AV22" s="41"/>
    </row>
    <row r="23" spans="1:48">
      <c r="A23" s="534" t="s">
        <v>686</v>
      </c>
      <c r="B23" s="54" t="e">
        <f>MATCH(A23,Вентиляторы!B$6:B$1864,0)</f>
        <v>#N/A</v>
      </c>
      <c r="C23" s="55" t="e">
        <f ca="1">OFFSET(Вентиляторы!#REF!,B23-1,0)</f>
        <v>#REF!</v>
      </c>
      <c r="D23" s="55" t="e">
        <f t="shared" ca="1" si="0"/>
        <v>#REF!</v>
      </c>
      <c r="E23" s="502" t="e">
        <f ca="1">OFFSET(Вентиляторы!#REF!,B23-1,0)</f>
        <v>#REF!</v>
      </c>
      <c r="F23" s="503" t="s">
        <v>591</v>
      </c>
      <c r="G23" s="56" t="e">
        <f t="shared" si="1"/>
        <v>#REF!</v>
      </c>
      <c r="H23" s="56" t="e">
        <f ca="1">($G23/OFFSET(ПП_Свод!T$3,MATCH(M23,ПП_Свод!B$4:B$213,0),0)-1) &gt; -Задача_Допуск/100</f>
        <v>#REF!</v>
      </c>
      <c r="I23" s="56" t="str">
        <f t="shared" si="2"/>
        <v>Ø200=ЛОЖЬ</v>
      </c>
      <c r="J23" s="57" t="e">
        <f t="shared" ca="1" si="3"/>
        <v>#N/A</v>
      </c>
      <c r="K23" s="148">
        <v>200</v>
      </c>
      <c r="L23" s="148"/>
      <c r="M23" s="54" t="str">
        <f t="shared" si="4"/>
        <v>Ø200</v>
      </c>
      <c r="N23" s="148">
        <v>240</v>
      </c>
      <c r="O23" s="148">
        <v>3.7</v>
      </c>
      <c r="P23" s="148" t="s">
        <v>123</v>
      </c>
      <c r="Q23" s="148">
        <v>0.17</v>
      </c>
      <c r="R23" s="148">
        <v>1.42</v>
      </c>
      <c r="S23" s="103" t="s">
        <v>458</v>
      </c>
      <c r="T23" s="103" t="b">
        <v>0</v>
      </c>
      <c r="U23" s="103" t="b">
        <v>1</v>
      </c>
      <c r="V23" s="100" t="s">
        <v>170</v>
      </c>
      <c r="W23" s="100" t="s">
        <v>170</v>
      </c>
      <c r="X23" s="100" t="s">
        <v>170</v>
      </c>
      <c r="Y23" s="100" t="s">
        <v>24</v>
      </c>
      <c r="Z23" s="58">
        <v>0</v>
      </c>
      <c r="AA23" s="59">
        <v>200</v>
      </c>
      <c r="AB23" s="59">
        <v>400</v>
      </c>
      <c r="AC23" s="59">
        <v>600</v>
      </c>
      <c r="AD23" s="59">
        <v>850</v>
      </c>
      <c r="AE23" s="59">
        <v>1000</v>
      </c>
      <c r="AF23" s="60">
        <v>1110</v>
      </c>
      <c r="AG23" s="58">
        <v>860</v>
      </c>
      <c r="AH23" s="59">
        <v>690</v>
      </c>
      <c r="AI23" s="59">
        <v>520</v>
      </c>
      <c r="AJ23" s="59">
        <v>375</v>
      </c>
      <c r="AK23" s="59">
        <v>198</v>
      </c>
      <c r="AL23" s="59">
        <v>90</v>
      </c>
      <c r="AM23" s="60">
        <v>0</v>
      </c>
      <c r="AN23" s="61">
        <f>INDEX(LINEST($AG23:$AM23,$Z23:$AF23^Данные!$A$106:$A$110),1,6)</f>
        <v>860.0978005367233</v>
      </c>
      <c r="AO23" s="74">
        <f>INDEX(LINEST($AG23:$AM23,$Z23:$AF23^Данные!$A$106:$A$110),1,5)</f>
        <v>-0.78054126998922102</v>
      </c>
      <c r="AP23" s="74">
        <f>INDEX(LINEST($AG23:$AM23,$Z23:$AF23^Данные!$A$106:$A$110),1,4)</f>
        <v>-6.7150582167225788E-4</v>
      </c>
      <c r="AQ23" s="74">
        <f>INDEX(LINEST($AG23:$AM23,$Z23:$AF23^Данные!$A$106:$A$110),1,3)</f>
        <v>1.8432295074330212E-6</v>
      </c>
      <c r="AR23" s="74">
        <f>INDEX(LINEST($AG23:$AM23,$Z23:$AF23^Данные!$A$106:$A$110),1,2)</f>
        <v>-1.6313263919132982E-9</v>
      </c>
      <c r="AS23" s="74">
        <f>INDEX(LINEST($AG23:$AM23,$Z23:$AF23^Данные!$A$106:$A$110),1,1)</f>
        <v>4.6864807247778366E-13</v>
      </c>
      <c r="AT23" s="75">
        <v>0</v>
      </c>
      <c r="AU23" s="54" t="str">
        <f t="shared" si="7"/>
        <v>Евросоюз</v>
      </c>
      <c r="AV23" s="41"/>
    </row>
    <row r="24" spans="1:48">
      <c r="A24" s="534" t="s">
        <v>687</v>
      </c>
      <c r="B24" s="54" t="e">
        <f>MATCH(A24,Вентиляторы!B$6:B$1864,0)</f>
        <v>#N/A</v>
      </c>
      <c r="C24" s="55" t="e">
        <f ca="1">OFFSET(Вентиляторы!#REF!,B24-1,0)</f>
        <v>#REF!</v>
      </c>
      <c r="D24" s="55" t="e">
        <f t="shared" ca="1" si="0"/>
        <v>#REF!</v>
      </c>
      <c r="E24" s="502" t="e">
        <f ca="1">OFFSET(Вентиляторы!#REF!,B24-1,0)</f>
        <v>#REF!</v>
      </c>
      <c r="F24" s="503" t="s">
        <v>591</v>
      </c>
      <c r="G24" s="56" t="e">
        <f t="shared" si="1"/>
        <v>#REF!</v>
      </c>
      <c r="H24" s="56" t="e">
        <f ca="1">($G24/OFFSET(ПП_Свод!T$3,MATCH(M24,ПП_Свод!B$4:B$213,0),0)-1) &gt; -Задача_Допуск/100</f>
        <v>#REF!</v>
      </c>
      <c r="I24" s="56" t="str">
        <f t="shared" si="2"/>
        <v>Ø200=ЛОЖЬ</v>
      </c>
      <c r="J24" s="57" t="e">
        <f t="shared" ca="1" si="3"/>
        <v>#N/A</v>
      </c>
      <c r="K24" s="148">
        <v>200</v>
      </c>
      <c r="L24" s="148"/>
      <c r="M24" s="54" t="str">
        <f t="shared" si="4"/>
        <v>Ø200</v>
      </c>
      <c r="N24" s="148">
        <v>444</v>
      </c>
      <c r="O24" s="148">
        <v>17.3</v>
      </c>
      <c r="P24" s="148" t="s">
        <v>123</v>
      </c>
      <c r="Q24" s="148">
        <v>0.16700000000000001</v>
      </c>
      <c r="R24" s="148">
        <v>0.72</v>
      </c>
      <c r="S24" s="103" t="s">
        <v>458</v>
      </c>
      <c r="T24" s="103" t="b">
        <v>1</v>
      </c>
      <c r="U24" s="103" t="b">
        <v>0</v>
      </c>
      <c r="V24" s="100" t="s">
        <v>17</v>
      </c>
      <c r="W24" s="100" t="s">
        <v>1</v>
      </c>
      <c r="X24" s="100" t="s">
        <v>170</v>
      </c>
      <c r="Y24" s="100" t="s">
        <v>24</v>
      </c>
      <c r="Z24" s="58">
        <v>0</v>
      </c>
      <c r="AA24" s="59">
        <v>250</v>
      </c>
      <c r="AB24" s="59">
        <v>375</v>
      </c>
      <c r="AC24" s="59">
        <v>500</v>
      </c>
      <c r="AD24" s="59">
        <v>600</v>
      </c>
      <c r="AE24" s="59">
        <v>625</v>
      </c>
      <c r="AF24" s="60">
        <v>700</v>
      </c>
      <c r="AG24" s="58">
        <v>340</v>
      </c>
      <c r="AH24" s="59">
        <v>285</v>
      </c>
      <c r="AI24" s="59">
        <v>250</v>
      </c>
      <c r="AJ24" s="59">
        <v>180</v>
      </c>
      <c r="AK24" s="59">
        <v>100</v>
      </c>
      <c r="AL24" s="59">
        <v>70</v>
      </c>
      <c r="AM24" s="60">
        <v>0</v>
      </c>
      <c r="AN24" s="61">
        <f>INDEX(LINEST($AG24:$AM24,$Z24:$AF24^Данные!$A$106:$A$110),1,6)</f>
        <v>339.99690918798666</v>
      </c>
      <c r="AO24" s="74">
        <f>INDEX(LINEST($AG24:$AM24,$Z24:$AF24^Данные!$A$106:$A$110),1,5)</f>
        <v>-0.26430002864397223</v>
      </c>
      <c r="AP24" s="74">
        <f>INDEX(LINEST($AG24:$AM24,$Z24:$AF24^Данные!$A$106:$A$110),1,4)</f>
        <v>-2.7769880646650121E-5</v>
      </c>
      <c r="AQ24" s="74">
        <f>INDEX(LINEST($AG24:$AM24,$Z24:$AF24^Данные!$A$106:$A$110),1,3)</f>
        <v>2.5523443441125877E-6</v>
      </c>
      <c r="AR24" s="74">
        <f>INDEX(LINEST($AG24:$AM24,$Z24:$AF24^Данные!$A$106:$A$110),1,2)</f>
        <v>-8.3923507323914805E-9</v>
      </c>
      <c r="AS24" s="74">
        <f>INDEX(LINEST($AG24:$AM24,$Z24:$AF24^Данные!$A$106:$A$110),1,1)</f>
        <v>5.9375378828892914E-12</v>
      </c>
      <c r="AT24" s="75">
        <v>0</v>
      </c>
      <c r="AU24" s="54" t="str">
        <f t="shared" si="7"/>
        <v>Евросоюз</v>
      </c>
      <c r="AV24" s="41"/>
    </row>
    <row r="25" spans="1:48">
      <c r="A25" s="534" t="s">
        <v>688</v>
      </c>
      <c r="B25" s="54" t="e">
        <f>MATCH(A25,Вентиляторы!B$6:B$1864,0)</f>
        <v>#N/A</v>
      </c>
      <c r="C25" s="55" t="e">
        <f ca="1">OFFSET(Вентиляторы!#REF!,B25-1,0)</f>
        <v>#REF!</v>
      </c>
      <c r="D25" s="55" t="e">
        <f t="shared" ca="1" si="0"/>
        <v>#REF!</v>
      </c>
      <c r="E25" s="502" t="e">
        <f ca="1">OFFSET(Вентиляторы!#REF!,B25-1,0)</f>
        <v>#REF!</v>
      </c>
      <c r="F25" s="503" t="s">
        <v>591</v>
      </c>
      <c r="G25" s="56" t="e">
        <f t="shared" si="1"/>
        <v>#REF!</v>
      </c>
      <c r="H25" s="56" t="e">
        <f ca="1">($G25/OFFSET(ПП_Свод!T$3,MATCH(M25,ПП_Свод!B$4:B$213,0),0)-1) &gt; -Задача_Допуск/100</f>
        <v>#REF!</v>
      </c>
      <c r="I25" s="56" t="str">
        <f t="shared" si="2"/>
        <v>Ø200=ЛОЖЬ</v>
      </c>
      <c r="J25" s="57" t="e">
        <f t="shared" ca="1" si="3"/>
        <v>#N/A</v>
      </c>
      <c r="K25" s="148">
        <v>200</v>
      </c>
      <c r="L25" s="148"/>
      <c r="M25" s="54" t="str">
        <f t="shared" si="4"/>
        <v>Ø200</v>
      </c>
      <c r="N25" s="148">
        <v>400</v>
      </c>
      <c r="O25" s="148">
        <v>13.7</v>
      </c>
      <c r="P25" s="148" t="s">
        <v>123</v>
      </c>
      <c r="Q25" s="148">
        <v>0.23899999999999999</v>
      </c>
      <c r="R25" s="148">
        <v>1.04</v>
      </c>
      <c r="S25" s="103" t="s">
        <v>458</v>
      </c>
      <c r="T25" s="103" t="b">
        <v>1</v>
      </c>
      <c r="U25" s="103" t="b">
        <v>0</v>
      </c>
      <c r="V25" s="100" t="s">
        <v>17</v>
      </c>
      <c r="W25" s="100" t="s">
        <v>1</v>
      </c>
      <c r="X25" s="100" t="s">
        <v>170</v>
      </c>
      <c r="Y25" s="100" t="s">
        <v>24</v>
      </c>
      <c r="Z25" s="58">
        <v>0</v>
      </c>
      <c r="AA25" s="59">
        <v>100</v>
      </c>
      <c r="AB25" s="59">
        <v>250</v>
      </c>
      <c r="AC25" s="59">
        <v>375</v>
      </c>
      <c r="AD25" s="59">
        <v>450</v>
      </c>
      <c r="AE25" s="59">
        <v>575</v>
      </c>
      <c r="AF25" s="60">
        <v>625</v>
      </c>
      <c r="AG25" s="58">
        <v>590</v>
      </c>
      <c r="AH25" s="59">
        <v>540</v>
      </c>
      <c r="AI25" s="59">
        <v>485</v>
      </c>
      <c r="AJ25" s="59">
        <v>400</v>
      </c>
      <c r="AK25" s="59">
        <v>300</v>
      </c>
      <c r="AL25" s="59">
        <v>100</v>
      </c>
      <c r="AM25" s="60">
        <v>0</v>
      </c>
      <c r="AN25" s="61">
        <f>INDEX(LINEST($AG25:$AM25,$Z25:$AF25^Данные!$A$106:$A$110),1,6)</f>
        <v>590.15911081543948</v>
      </c>
      <c r="AO25" s="74">
        <f>INDEX(LINEST($AG25:$AM25,$Z25:$AF25^Данные!$A$106:$A$110),1,5)</f>
        <v>-0.76952422181380076</v>
      </c>
      <c r="AP25" s="74">
        <f>INDEX(LINEST($AG25:$AM25,$Z25:$AF25^Данные!$A$106:$A$110),1,4)</f>
        <v>3.5642489502180422E-3</v>
      </c>
      <c r="AQ25" s="74">
        <f>INDEX(LINEST($AG25:$AM25,$Z25:$AF25^Данные!$A$106:$A$110),1,3)</f>
        <v>-1.0179272076889141E-5</v>
      </c>
      <c r="AR25" s="74">
        <f>INDEX(LINEST($AG25:$AM25,$Z25:$AF25^Данные!$A$106:$A$110),1,2)</f>
        <v>6.6289929431245628E-9</v>
      </c>
      <c r="AS25" s="74">
        <f>INDEX(LINEST($AG25:$AM25,$Z25:$AF25^Данные!$A$106:$A$110),1,1)</f>
        <v>-2.8233124389012076E-13</v>
      </c>
      <c r="AT25" s="75">
        <v>0</v>
      </c>
      <c r="AU25" s="54" t="str">
        <f t="shared" si="7"/>
        <v>Евросоюз</v>
      </c>
      <c r="AV25" s="41"/>
    </row>
    <row r="26" spans="1:48">
      <c r="A26" s="534" t="s">
        <v>689</v>
      </c>
      <c r="B26" s="54" t="e">
        <f>MATCH(A26,Вентиляторы!B$6:B$1864,0)</f>
        <v>#N/A</v>
      </c>
      <c r="C26" s="55" t="e">
        <f ca="1">OFFSET(Вентиляторы!#REF!,B26-1,0)</f>
        <v>#REF!</v>
      </c>
      <c r="D26" s="55" t="e">
        <f t="shared" ca="1" si="0"/>
        <v>#REF!</v>
      </c>
      <c r="E26" s="502" t="e">
        <f ca="1">OFFSET(Вентиляторы!#REF!,B26-1,0)</f>
        <v>#REF!</v>
      </c>
      <c r="F26" s="503" t="s">
        <v>591</v>
      </c>
      <c r="G26" s="56" t="e">
        <f t="shared" si="1"/>
        <v>#REF!</v>
      </c>
      <c r="H26" s="56" t="e">
        <f ca="1">($G26/OFFSET(ПП_Свод!T$3,MATCH(M26,ПП_Свод!B$4:B$213,0),0)-1) &gt; -Задача_Допуск/100</f>
        <v>#REF!</v>
      </c>
      <c r="I26" s="56" t="str">
        <f t="shared" si="2"/>
        <v>Ø200=ЛОЖЬ</v>
      </c>
      <c r="J26" s="57" t="e">
        <f t="shared" ca="1" si="3"/>
        <v>#N/A</v>
      </c>
      <c r="K26" s="148">
        <v>200</v>
      </c>
      <c r="L26" s="148"/>
      <c r="M26" s="54" t="str">
        <f t="shared" si="4"/>
        <v>Ø200</v>
      </c>
      <c r="N26" s="148">
        <v>600</v>
      </c>
      <c r="O26" s="148">
        <v>25</v>
      </c>
      <c r="P26" s="148" t="s">
        <v>123</v>
      </c>
      <c r="Q26" s="148">
        <v>0.192</v>
      </c>
      <c r="R26" s="148">
        <v>1.42</v>
      </c>
      <c r="S26" s="103" t="s">
        <v>458</v>
      </c>
      <c r="T26" s="103" t="b">
        <v>1</v>
      </c>
      <c r="U26" s="103" t="b">
        <v>1</v>
      </c>
      <c r="V26" s="100" t="s">
        <v>170</v>
      </c>
      <c r="W26" s="100" t="s">
        <v>170</v>
      </c>
      <c r="X26" s="100" t="s">
        <v>170</v>
      </c>
      <c r="Y26" s="100" t="s">
        <v>24</v>
      </c>
      <c r="Z26" s="58">
        <v>0</v>
      </c>
      <c r="AA26" s="59">
        <v>100</v>
      </c>
      <c r="AB26" s="59">
        <v>375</v>
      </c>
      <c r="AC26" s="59">
        <v>625</v>
      </c>
      <c r="AD26" s="59">
        <v>750</v>
      </c>
      <c r="AE26" s="59">
        <v>825</v>
      </c>
      <c r="AF26" s="60">
        <v>925</v>
      </c>
      <c r="AG26" s="58">
        <v>905</v>
      </c>
      <c r="AH26" s="59">
        <v>880</v>
      </c>
      <c r="AI26" s="59">
        <v>700</v>
      </c>
      <c r="AJ26" s="59">
        <v>400</v>
      </c>
      <c r="AK26" s="59">
        <v>225</v>
      </c>
      <c r="AL26" s="59">
        <v>125</v>
      </c>
      <c r="AM26" s="60">
        <v>0</v>
      </c>
      <c r="AN26" s="61">
        <f>INDEX(LINEST($AG26:$AM26,$Z26:$AF26^Данные!$A$106:$A$110),1,6)</f>
        <v>905.02332920141885</v>
      </c>
      <c r="AO26" s="74">
        <f>INDEX(LINEST($AG26:$AM26,$Z26:$AF26^Данные!$A$106:$A$110),1,5)</f>
        <v>-0.17224355261436849</v>
      </c>
      <c r="AP26" s="74">
        <f>INDEX(LINEST($AG26:$AM26,$Z26:$AF26^Данные!$A$106:$A$110),1,4)</f>
        <v>-6.5155888809090312E-4</v>
      </c>
      <c r="AQ26" s="74">
        <f>INDEX(LINEST($AG26:$AM26,$Z26:$AF26^Данные!$A$106:$A$110),1,3)</f>
        <v>-1.5025795432149901E-6</v>
      </c>
      <c r="AR26" s="74">
        <f>INDEX(LINEST($AG26:$AM26,$Z26:$AF26^Данные!$A$106:$A$110),1,2)</f>
        <v>1.666761735300355E-9</v>
      </c>
      <c r="AS26" s="74">
        <f>INDEX(LINEST($AG26:$AM26,$Z26:$AF26^Данные!$A$106:$A$110),1,1)</f>
        <v>-3.2350170395602324E-13</v>
      </c>
      <c r="AT26" s="75">
        <v>0</v>
      </c>
      <c r="AU26" s="63" t="str">
        <f t="shared" si="7"/>
        <v>Евросоюз</v>
      </c>
      <c r="AV26" s="41"/>
    </row>
    <row r="27" spans="1:48">
      <c r="A27" s="535" t="s">
        <v>690</v>
      </c>
      <c r="B27" s="44" t="e">
        <f>MATCH(A27,Вентиляторы!B$6:B$1864,0)</f>
        <v>#N/A</v>
      </c>
      <c r="C27" s="45" t="e">
        <f ca="1">OFFSET(Вентиляторы!#REF!,B27-1,0)</f>
        <v>#REF!</v>
      </c>
      <c r="D27" s="45" t="e">
        <f t="shared" ca="1" si="0"/>
        <v>#REF!</v>
      </c>
      <c r="E27" s="486" t="e">
        <f ca="1">OFFSET(Вентиляторы!#REF!,B27-1,0)</f>
        <v>#REF!</v>
      </c>
      <c r="F27" s="501" t="s">
        <v>591</v>
      </c>
      <c r="G27" s="46" t="e">
        <f t="shared" si="1"/>
        <v>#REF!</v>
      </c>
      <c r="H27" s="46" t="e">
        <f ca="1">($G27/OFFSET(ПП_Свод!T$3,MATCH(M27,ПП_Свод!B$4:B$213,0),0)-1) &gt; -Задача_Допуск/100</f>
        <v>#REF!</v>
      </c>
      <c r="I27" s="46" t="str">
        <f t="shared" si="2"/>
        <v>Ø250=ЛОЖЬ</v>
      </c>
      <c r="J27" s="47" t="e">
        <f t="shared" ca="1" si="3"/>
        <v>#N/A</v>
      </c>
      <c r="K27" s="147">
        <v>250</v>
      </c>
      <c r="L27" s="147"/>
      <c r="M27" s="44" t="str">
        <f t="shared" si="4"/>
        <v>Ø250</v>
      </c>
      <c r="N27" s="147">
        <v>223</v>
      </c>
      <c r="O27" s="147">
        <v>4.5</v>
      </c>
      <c r="P27" s="147" t="s">
        <v>123</v>
      </c>
      <c r="Q27" s="147">
        <v>0.1</v>
      </c>
      <c r="R27" s="147">
        <v>0.43</v>
      </c>
      <c r="S27" s="85" t="s">
        <v>458</v>
      </c>
      <c r="T27" s="85" t="b">
        <v>0</v>
      </c>
      <c r="U27" s="85" t="b">
        <v>0</v>
      </c>
      <c r="V27" s="80" t="s">
        <v>17</v>
      </c>
      <c r="W27" s="80" t="s">
        <v>1</v>
      </c>
      <c r="X27" s="80" t="s">
        <v>170</v>
      </c>
      <c r="Y27" s="80" t="s">
        <v>171</v>
      </c>
      <c r="Z27" s="48">
        <v>0</v>
      </c>
      <c r="AA27" s="49">
        <v>100</v>
      </c>
      <c r="AB27" s="49">
        <v>250</v>
      </c>
      <c r="AC27" s="49">
        <v>300</v>
      </c>
      <c r="AD27" s="49">
        <v>500</v>
      </c>
      <c r="AE27" s="49">
        <v>600</v>
      </c>
      <c r="AF27" s="50">
        <v>750</v>
      </c>
      <c r="AG27" s="48">
        <v>410</v>
      </c>
      <c r="AH27" s="49">
        <v>370</v>
      </c>
      <c r="AI27" s="49">
        <v>325</v>
      </c>
      <c r="AJ27" s="49">
        <v>300</v>
      </c>
      <c r="AK27" s="49">
        <v>190</v>
      </c>
      <c r="AL27" s="49">
        <v>120</v>
      </c>
      <c r="AM27" s="50">
        <v>0</v>
      </c>
      <c r="AN27" s="51">
        <f>INDEX(LINEST($AG27:$AM27,$Z27:$AF27^Данные!$A$106:$A$110),1,6)</f>
        <v>409.89450582835696</v>
      </c>
      <c r="AO27" s="72">
        <f>INDEX(LINEST($AG27:$AM27,$Z27:$AF27^Данные!$A$106:$A$110),1,5)</f>
        <v>-0.54210465128630891</v>
      </c>
      <c r="AP27" s="72">
        <f>INDEX(LINEST($AG27:$AM27,$Z27:$AF27^Данные!$A$106:$A$110),1,4)</f>
        <v>2.1525518404779641E-3</v>
      </c>
      <c r="AQ27" s="72">
        <f>INDEX(LINEST($AG27:$AM27,$Z27:$AF27^Данные!$A$106:$A$110),1,3)</f>
        <v>-7.6994342554857325E-6</v>
      </c>
      <c r="AR27" s="72">
        <f>INDEX(LINEST($AG27:$AM27,$Z27:$AF27^Данные!$A$106:$A$110),1,2)</f>
        <v>9.9303057354286652E-9</v>
      </c>
      <c r="AS27" s="72">
        <f>INDEX(LINEST($AG27:$AM27,$Z27:$AF27^Данные!$A$106:$A$110),1,1)</f>
        <v>-4.6690256797395719E-12</v>
      </c>
      <c r="AT27" s="73">
        <v>0</v>
      </c>
      <c r="AU27" s="44" t="str">
        <f t="shared" si="7"/>
        <v>Евросоюз</v>
      </c>
      <c r="AV27" s="41"/>
    </row>
    <row r="28" spans="1:48">
      <c r="A28" s="534" t="s">
        <v>691</v>
      </c>
      <c r="B28" s="54">
        <f>MATCH(A28,Вентиляторы!B$6:B$1864,0)</f>
        <v>10</v>
      </c>
      <c r="C28" s="55" t="e">
        <f ca="1">OFFSET(Вентиляторы!#REF!,B28-1,0)</f>
        <v>#REF!</v>
      </c>
      <c r="D28" s="55" t="e">
        <f t="shared" ca="1" si="0"/>
        <v>#REF!</v>
      </c>
      <c r="E28" s="502" t="e">
        <f ca="1">OFFSET(Вентиляторы!#REF!,B28-1,0)</f>
        <v>#REF!</v>
      </c>
      <c r="F28" s="503" t="s">
        <v>591</v>
      </c>
      <c r="G28" s="56" t="e">
        <f t="shared" si="1"/>
        <v>#REF!</v>
      </c>
      <c r="H28" s="56" t="e">
        <f ca="1">($G28/OFFSET(ПП_Свод!T$3,MATCH(M28,ПП_Свод!B$4:B$213,0),0)-1) &gt; -Задача_Допуск/100</f>
        <v>#REF!</v>
      </c>
      <c r="I28" s="56" t="str">
        <f t="shared" si="2"/>
        <v>Ø250=ЛОЖЬ</v>
      </c>
      <c r="J28" s="57" t="e">
        <f t="shared" ca="1" si="3"/>
        <v>#N/A</v>
      </c>
      <c r="K28" s="148">
        <v>250</v>
      </c>
      <c r="L28" s="148"/>
      <c r="M28" s="54" t="str">
        <f t="shared" si="4"/>
        <v>Ø250</v>
      </c>
      <c r="N28" s="148">
        <v>226</v>
      </c>
      <c r="O28" s="148">
        <v>5.3</v>
      </c>
      <c r="P28" s="148" t="s">
        <v>123</v>
      </c>
      <c r="Q28" s="148">
        <v>0.16</v>
      </c>
      <c r="R28" s="148">
        <v>0.7</v>
      </c>
      <c r="S28" s="103" t="s">
        <v>458</v>
      </c>
      <c r="T28" s="103" t="b">
        <v>0</v>
      </c>
      <c r="U28" s="103" t="b">
        <v>0</v>
      </c>
      <c r="V28" s="100" t="s">
        <v>17</v>
      </c>
      <c r="W28" s="100" t="s">
        <v>1</v>
      </c>
      <c r="X28" s="100" t="s">
        <v>170</v>
      </c>
      <c r="Y28" s="100" t="s">
        <v>25</v>
      </c>
      <c r="Z28" s="58">
        <v>0</v>
      </c>
      <c r="AA28" s="59">
        <v>100</v>
      </c>
      <c r="AB28" s="59">
        <v>300</v>
      </c>
      <c r="AC28" s="59">
        <v>500</v>
      </c>
      <c r="AD28" s="59">
        <v>750</v>
      </c>
      <c r="AE28" s="59">
        <v>1100</v>
      </c>
      <c r="AF28" s="60">
        <v>1300</v>
      </c>
      <c r="AG28" s="58">
        <v>570</v>
      </c>
      <c r="AH28" s="59">
        <v>520</v>
      </c>
      <c r="AI28" s="59">
        <v>455</v>
      </c>
      <c r="AJ28" s="59">
        <v>390</v>
      </c>
      <c r="AK28" s="59">
        <v>300</v>
      </c>
      <c r="AL28" s="59">
        <v>160</v>
      </c>
      <c r="AM28" s="60">
        <v>40</v>
      </c>
      <c r="AN28" s="61">
        <f>INDEX(LINEST($AG28:$AM28,$Z28:$AF28^Данные!$A$106:$A$110),1,6)</f>
        <v>569.74897998595839</v>
      </c>
      <c r="AO28" s="74">
        <f>INDEX(LINEST($AG28:$AM28,$Z28:$AF28^Данные!$A$106:$A$110),1,5)</f>
        <v>-0.59464024142723626</v>
      </c>
      <c r="AP28" s="74">
        <f>INDEX(LINEST($AG28:$AM28,$Z28:$AF28^Данные!$A$106:$A$110),1,4)</f>
        <v>1.2589709714471169E-3</v>
      </c>
      <c r="AQ28" s="74">
        <f>INDEX(LINEST($AG28:$AM28,$Z28:$AF28^Данные!$A$106:$A$110),1,3)</f>
        <v>-2.4230118318929842E-6</v>
      </c>
      <c r="AR28" s="74">
        <f>INDEX(LINEST($AG28:$AM28,$Z28:$AF28^Данные!$A$106:$A$110),1,2)</f>
        <v>2.0176558541350277E-9</v>
      </c>
      <c r="AS28" s="74">
        <f>INDEX(LINEST($AG28:$AM28,$Z28:$AF28^Данные!$A$106:$A$110),1,1)</f>
        <v>-6.2583375248395211E-13</v>
      </c>
      <c r="AT28" s="75">
        <v>0</v>
      </c>
      <c r="AU28" s="54" t="str">
        <f>Производитель_Россия</f>
        <v>Россия</v>
      </c>
      <c r="AV28" s="41"/>
    </row>
    <row r="29" spans="1:48">
      <c r="A29" s="534" t="s">
        <v>692</v>
      </c>
      <c r="B29" s="54" t="e">
        <f>MATCH(A29,Вентиляторы!B$6:B$1864,0)</f>
        <v>#N/A</v>
      </c>
      <c r="C29" s="55" t="e">
        <f ca="1">OFFSET(Вентиляторы!#REF!,B29-1,0)</f>
        <v>#REF!</v>
      </c>
      <c r="D29" s="55" t="e">
        <f t="shared" ca="1" si="0"/>
        <v>#REF!</v>
      </c>
      <c r="E29" s="502" t="e">
        <f ca="1">OFFSET(Вентиляторы!#REF!,B29-1,0)</f>
        <v>#REF!</v>
      </c>
      <c r="F29" s="503" t="s">
        <v>591</v>
      </c>
      <c r="G29" s="56" t="e">
        <f t="shared" si="1"/>
        <v>#REF!</v>
      </c>
      <c r="H29" s="56" t="e">
        <f ca="1">($G29/OFFSET(ПП_Свод!T$3,MATCH(M29,ПП_Свод!B$4:B$213,0),0)-1) &gt; -Задача_Допуск/100</f>
        <v>#REF!</v>
      </c>
      <c r="I29" s="56" t="str">
        <f t="shared" si="2"/>
        <v>Ø250=ЛОЖЬ</v>
      </c>
      <c r="J29" s="57" t="e">
        <f t="shared" ca="1" si="3"/>
        <v>#N/A</v>
      </c>
      <c r="K29" s="148">
        <v>250</v>
      </c>
      <c r="L29" s="148"/>
      <c r="M29" s="54" t="str">
        <f t="shared" si="4"/>
        <v>Ø250</v>
      </c>
      <c r="N29" s="148">
        <v>257</v>
      </c>
      <c r="O29" s="148">
        <v>4.5</v>
      </c>
      <c r="P29" s="148" t="s">
        <v>123</v>
      </c>
      <c r="Q29" s="148">
        <v>0.13600000000000001</v>
      </c>
      <c r="R29" s="148">
        <v>0.6</v>
      </c>
      <c r="S29" s="103" t="s">
        <v>458</v>
      </c>
      <c r="T29" s="103" t="b">
        <v>0</v>
      </c>
      <c r="U29" s="103" t="b">
        <v>0</v>
      </c>
      <c r="V29" s="100" t="s">
        <v>17</v>
      </c>
      <c r="W29" s="100" t="s">
        <v>1</v>
      </c>
      <c r="X29" s="100" t="s">
        <v>170</v>
      </c>
      <c r="Y29" s="100" t="s">
        <v>171</v>
      </c>
      <c r="Z29" s="58">
        <v>0</v>
      </c>
      <c r="AA29" s="59">
        <v>50</v>
      </c>
      <c r="AB29" s="59">
        <v>150</v>
      </c>
      <c r="AC29" s="59">
        <v>300</v>
      </c>
      <c r="AD29" s="59">
        <v>500</v>
      </c>
      <c r="AE29" s="59">
        <v>675</v>
      </c>
      <c r="AF29" s="60">
        <v>750</v>
      </c>
      <c r="AG29" s="58">
        <v>520</v>
      </c>
      <c r="AH29" s="59">
        <v>500</v>
      </c>
      <c r="AI29" s="59">
        <v>460</v>
      </c>
      <c r="AJ29" s="59">
        <v>370</v>
      </c>
      <c r="AK29" s="59">
        <v>310</v>
      </c>
      <c r="AL29" s="59">
        <v>200</v>
      </c>
      <c r="AM29" s="60">
        <v>140</v>
      </c>
      <c r="AN29" s="61">
        <f>INDEX(LINEST($AG29:$AM29,$Z29:$AF29^Данные!$A$106:$A$110),1,6)</f>
        <v>516.92763482745454</v>
      </c>
      <c r="AO29" s="74">
        <f>INDEX(LINEST($AG29:$AM29,$Z29:$AF29^Данные!$A$106:$A$110),1,5)</f>
        <v>2.3397267540601167E-2</v>
      </c>
      <c r="AP29" s="74">
        <f>INDEX(LINEST($AG29:$AM29,$Z29:$AF29^Данные!$A$106:$A$110),1,4)</f>
        <v>-5.2710499822893626E-3</v>
      </c>
      <c r="AQ29" s="74">
        <f>INDEX(LINEST($AG29:$AM29,$Z29:$AF29^Данные!$A$106:$A$110),1,3)</f>
        <v>1.8807450106787675E-5</v>
      </c>
      <c r="AR29" s="74">
        <f>INDEX(LINEST($AG29:$AM29,$Z29:$AF29^Данные!$A$106:$A$110),1,2)</f>
        <v>-2.6298727078673127E-8</v>
      </c>
      <c r="AS29" s="74">
        <f>INDEX(LINEST($AG29:$AM29,$Z29:$AF29^Данные!$A$106:$A$110),1,1)</f>
        <v>1.2458752069634886E-11</v>
      </c>
      <c r="AT29" s="75">
        <v>0</v>
      </c>
      <c r="AU29" s="54" t="str">
        <f t="shared" ref="AU29:AU34" si="8">Производитель_Европа</f>
        <v>Евросоюз</v>
      </c>
      <c r="AV29" s="41"/>
    </row>
    <row r="30" spans="1:48">
      <c r="A30" s="534" t="s">
        <v>693</v>
      </c>
      <c r="B30" s="54" t="e">
        <f>MATCH(A30,Вентиляторы!B$6:B$1864,0)</f>
        <v>#N/A</v>
      </c>
      <c r="C30" s="55" t="e">
        <f ca="1">OFFSET(Вентиляторы!#REF!,B30-1,0)</f>
        <v>#REF!</v>
      </c>
      <c r="D30" s="55" t="e">
        <f t="shared" ca="1" si="0"/>
        <v>#REF!</v>
      </c>
      <c r="E30" s="502" t="e">
        <f ca="1">OFFSET(Вентиляторы!#REF!,B30-1,0)</f>
        <v>#REF!</v>
      </c>
      <c r="F30" s="503" t="s">
        <v>591</v>
      </c>
      <c r="G30" s="56" t="e">
        <f t="shared" si="1"/>
        <v>#REF!</v>
      </c>
      <c r="H30" s="56" t="e">
        <f ca="1">($G30/OFFSET(ПП_Свод!T$3,MATCH(M30,ПП_Свод!B$4:B$213,0),0)-1) &gt; -Задача_Допуск/100</f>
        <v>#REF!</v>
      </c>
      <c r="I30" s="56" t="str">
        <f t="shared" si="2"/>
        <v>Ø250=ЛОЖЬ</v>
      </c>
      <c r="J30" s="57" t="e">
        <f t="shared" ca="1" si="3"/>
        <v>#N/A</v>
      </c>
      <c r="K30" s="148">
        <v>250</v>
      </c>
      <c r="L30" s="148"/>
      <c r="M30" s="54" t="str">
        <f t="shared" si="4"/>
        <v>Ø250</v>
      </c>
      <c r="N30" s="148">
        <v>245</v>
      </c>
      <c r="O30" s="148">
        <v>3.6</v>
      </c>
      <c r="P30" s="148" t="s">
        <v>123</v>
      </c>
      <c r="Q30" s="148">
        <v>0.22500000000000001</v>
      </c>
      <c r="R30" s="148">
        <v>1.74</v>
      </c>
      <c r="S30" s="103" t="s">
        <v>458</v>
      </c>
      <c r="T30" s="103" t="b">
        <v>0</v>
      </c>
      <c r="U30" s="103" t="b">
        <v>1</v>
      </c>
      <c r="V30" s="100" t="s">
        <v>170</v>
      </c>
      <c r="W30" s="100" t="s">
        <v>170</v>
      </c>
      <c r="X30" s="100" t="s">
        <v>170</v>
      </c>
      <c r="Y30" s="100" t="s">
        <v>25</v>
      </c>
      <c r="Z30" s="58">
        <v>0</v>
      </c>
      <c r="AA30" s="59">
        <v>200</v>
      </c>
      <c r="AB30" s="59">
        <v>600</v>
      </c>
      <c r="AC30" s="59">
        <v>800</v>
      </c>
      <c r="AD30" s="59">
        <v>900</v>
      </c>
      <c r="AE30" s="59">
        <v>1000</v>
      </c>
      <c r="AF30" s="60">
        <v>1150</v>
      </c>
      <c r="AG30" s="58">
        <v>900</v>
      </c>
      <c r="AH30" s="59">
        <v>700</v>
      </c>
      <c r="AI30" s="59">
        <v>400</v>
      </c>
      <c r="AJ30" s="59">
        <v>280</v>
      </c>
      <c r="AK30" s="59">
        <v>220</v>
      </c>
      <c r="AL30" s="59">
        <v>150</v>
      </c>
      <c r="AM30" s="60">
        <v>0</v>
      </c>
      <c r="AN30" s="61">
        <f>INDEX(LINEST($AG30:$AM30,$Z30:$AF30^Данные!$A$106:$A$110),1,6)</f>
        <v>899.99923508044571</v>
      </c>
      <c r="AO30" s="74">
        <f>INDEX(LINEST($AG30:$AM30,$Z30:$AF30^Данные!$A$106:$A$110),1,5)</f>
        <v>-1.1583470692929614</v>
      </c>
      <c r="AP30" s="74">
        <f>INDEX(LINEST($AG30:$AM30,$Z30:$AF30^Данные!$A$106:$A$110),1,4)</f>
        <v>1.0556152099428489E-3</v>
      </c>
      <c r="AQ30" s="74">
        <f>INDEX(LINEST($AG30:$AM30,$Z30:$AF30^Данные!$A$106:$A$110),1,3)</f>
        <v>-1.644879607076551E-6</v>
      </c>
      <c r="AR30" s="74">
        <f>INDEX(LINEST($AG30:$AM30,$Z30:$AF30^Данные!$A$106:$A$110),1,2)</f>
        <v>1.787751776258573E-9</v>
      </c>
      <c r="AS30" s="74">
        <f>INDEX(LINEST($AG30:$AM30,$Z30:$AF30^Данные!$A$106:$A$110),1,1)</f>
        <v>-7.9006037573847012E-13</v>
      </c>
      <c r="AT30" s="75">
        <v>0</v>
      </c>
      <c r="AU30" s="54" t="str">
        <f t="shared" si="8"/>
        <v>Евросоюз</v>
      </c>
      <c r="AV30" s="41"/>
    </row>
    <row r="31" spans="1:48">
      <c r="A31" s="534" t="s">
        <v>694</v>
      </c>
      <c r="B31" s="54" t="e">
        <f>MATCH(A31,Вентиляторы!B$6:B$1864,0)</f>
        <v>#N/A</v>
      </c>
      <c r="C31" s="55" t="e">
        <f ca="1">OFFSET(Вентиляторы!#REF!,B31-1,0)</f>
        <v>#REF!</v>
      </c>
      <c r="D31" s="55" t="e">
        <f t="shared" ca="1" si="0"/>
        <v>#REF!</v>
      </c>
      <c r="E31" s="502" t="e">
        <f ca="1">OFFSET(Вентиляторы!#REF!,B31-1,0)</f>
        <v>#REF!</v>
      </c>
      <c r="F31" s="503" t="s">
        <v>591</v>
      </c>
      <c r="G31" s="56" t="e">
        <f t="shared" si="1"/>
        <v>#REF!</v>
      </c>
      <c r="H31" s="56" t="e">
        <f ca="1">($G31/OFFSET(ПП_Свод!T$3,MATCH(M31,ПП_Свод!B$4:B$213,0),0)-1) &gt; -Задача_Допуск/100</f>
        <v>#REF!</v>
      </c>
      <c r="I31" s="56" t="str">
        <f t="shared" si="2"/>
        <v>Ø250=ЛОЖЬ</v>
      </c>
      <c r="J31" s="57" t="e">
        <f t="shared" ca="1" si="3"/>
        <v>#N/A</v>
      </c>
      <c r="K31" s="148">
        <v>250</v>
      </c>
      <c r="L31" s="148"/>
      <c r="M31" s="54" t="str">
        <f t="shared" si="4"/>
        <v>Ø250</v>
      </c>
      <c r="N31" s="148">
        <v>444</v>
      </c>
      <c r="O31" s="148">
        <v>17</v>
      </c>
      <c r="P31" s="148" t="s">
        <v>123</v>
      </c>
      <c r="Q31" s="148">
        <v>0.26500000000000001</v>
      </c>
      <c r="R31" s="148">
        <v>1.1499999999999999</v>
      </c>
      <c r="S31" s="103" t="s">
        <v>458</v>
      </c>
      <c r="T31" s="103" t="b">
        <v>1</v>
      </c>
      <c r="U31" s="103" t="b">
        <v>0</v>
      </c>
      <c r="V31" s="100" t="s">
        <v>17</v>
      </c>
      <c r="W31" s="100" t="s">
        <v>1</v>
      </c>
      <c r="X31" s="100" t="s">
        <v>170</v>
      </c>
      <c r="Y31" s="100" t="s">
        <v>25</v>
      </c>
      <c r="Z31" s="58">
        <v>0</v>
      </c>
      <c r="AA31" s="59">
        <v>200</v>
      </c>
      <c r="AB31" s="59">
        <v>500</v>
      </c>
      <c r="AC31" s="59">
        <v>700</v>
      </c>
      <c r="AD31" s="59">
        <v>900</v>
      </c>
      <c r="AE31" s="59">
        <v>1000</v>
      </c>
      <c r="AF31" s="60">
        <v>1050</v>
      </c>
      <c r="AG31" s="58">
        <v>430</v>
      </c>
      <c r="AH31" s="59">
        <v>390</v>
      </c>
      <c r="AI31" s="59">
        <v>310</v>
      </c>
      <c r="AJ31" s="59">
        <v>220</v>
      </c>
      <c r="AK31" s="59">
        <v>120</v>
      </c>
      <c r="AL31" s="59">
        <v>40</v>
      </c>
      <c r="AM31" s="60">
        <v>0</v>
      </c>
      <c r="AN31" s="61">
        <f>INDEX(LINEST($AG31:$AM31,$Z31:$AF31^Данные!$A$106:$A$110),1,6)</f>
        <v>429.95872949743864</v>
      </c>
      <c r="AO31" s="74">
        <f>INDEX(LINEST($AG31:$AM31,$Z31:$AF31^Данные!$A$106:$A$110),1,5)</f>
        <v>-0.33671228109722712</v>
      </c>
      <c r="AP31" s="74">
        <f>INDEX(LINEST($AG31:$AM31,$Z31:$AF31^Данные!$A$106:$A$110),1,4)</f>
        <v>1.3388357641392224E-3</v>
      </c>
      <c r="AQ31" s="74">
        <f>INDEX(LINEST($AG31:$AM31,$Z31:$AF31^Данные!$A$106:$A$110),1,3)</f>
        <v>-4.0493097035644819E-6</v>
      </c>
      <c r="AR31" s="74">
        <f>INDEX(LINEST($AG31:$AM31,$Z31:$AF31^Данные!$A$106:$A$110),1,2)</f>
        <v>4.3470191393883856E-9</v>
      </c>
      <c r="AS31" s="74">
        <f>INDEX(LINEST($AG31:$AM31,$Z31:$AF31^Данные!$A$106:$A$110),1,1)</f>
        <v>-1.685241575455986E-12</v>
      </c>
      <c r="AT31" s="75">
        <v>0</v>
      </c>
      <c r="AU31" s="54" t="str">
        <f t="shared" si="8"/>
        <v>Евросоюз</v>
      </c>
      <c r="AV31" s="41"/>
    </row>
    <row r="32" spans="1:48">
      <c r="A32" s="534" t="s">
        <v>695</v>
      </c>
      <c r="B32" s="54" t="e">
        <f>MATCH(A32,Вентиляторы!B$6:B$1864,0)</f>
        <v>#N/A</v>
      </c>
      <c r="C32" s="55" t="e">
        <f ca="1">OFFSET(Вентиляторы!#REF!,B32-1,0)</f>
        <v>#REF!</v>
      </c>
      <c r="D32" s="55" t="e">
        <f t="shared" ca="1" si="0"/>
        <v>#REF!</v>
      </c>
      <c r="E32" s="502" t="e">
        <f ca="1">OFFSET(Вентиляторы!#REF!,B32-1,0)</f>
        <v>#REF!</v>
      </c>
      <c r="F32" s="503" t="s">
        <v>591</v>
      </c>
      <c r="G32" s="56" t="e">
        <f t="shared" si="1"/>
        <v>#REF!</v>
      </c>
      <c r="H32" s="56" t="e">
        <f ca="1">($G32/OFFSET(ПП_Свод!T$3,MATCH(M32,ПП_Свод!B$4:B$213,0),0)-1) &gt; -Задача_Допуск/100</f>
        <v>#REF!</v>
      </c>
      <c r="I32" s="56" t="str">
        <f t="shared" si="2"/>
        <v>Ø250=ЛОЖЬ</v>
      </c>
      <c r="J32" s="57" t="e">
        <f t="shared" ca="1" si="3"/>
        <v>#N/A</v>
      </c>
      <c r="K32" s="148">
        <v>250</v>
      </c>
      <c r="L32" s="148"/>
      <c r="M32" s="54" t="str">
        <f t="shared" si="4"/>
        <v>Ø250</v>
      </c>
      <c r="N32" s="148">
        <v>694</v>
      </c>
      <c r="O32" s="148">
        <v>37</v>
      </c>
      <c r="P32" s="148" t="s">
        <v>123</v>
      </c>
      <c r="Q32" s="148">
        <v>0.31</v>
      </c>
      <c r="R32" s="148">
        <v>1.35</v>
      </c>
      <c r="S32" s="103" t="s">
        <v>458</v>
      </c>
      <c r="T32" s="103" t="b">
        <v>1</v>
      </c>
      <c r="U32" s="103" t="b">
        <v>0</v>
      </c>
      <c r="V32" s="100" t="s">
        <v>17</v>
      </c>
      <c r="W32" s="100" t="s">
        <v>1</v>
      </c>
      <c r="X32" s="100" t="s">
        <v>170</v>
      </c>
      <c r="Y32" s="100" t="s">
        <v>25</v>
      </c>
      <c r="Z32" s="58">
        <v>0</v>
      </c>
      <c r="AA32" s="59">
        <v>100</v>
      </c>
      <c r="AB32" s="59">
        <v>400</v>
      </c>
      <c r="AC32" s="59">
        <v>1000</v>
      </c>
      <c r="AD32" s="59">
        <v>1300</v>
      </c>
      <c r="AE32" s="59">
        <v>1480</v>
      </c>
      <c r="AF32" s="60">
        <v>1550</v>
      </c>
      <c r="AG32" s="58">
        <v>770</v>
      </c>
      <c r="AH32" s="59">
        <v>750</v>
      </c>
      <c r="AI32" s="59">
        <v>620</v>
      </c>
      <c r="AJ32" s="59">
        <v>380</v>
      </c>
      <c r="AK32" s="59">
        <v>200</v>
      </c>
      <c r="AL32" s="59">
        <v>70</v>
      </c>
      <c r="AM32" s="60">
        <v>0</v>
      </c>
      <c r="AN32" s="61">
        <f>INDEX(LINEST($AG32:$AM32,$Z32:$AF32^Данные!$A$106:$A$110),1,6)</f>
        <v>770.75267847644454</v>
      </c>
      <c r="AO32" s="74">
        <f>INDEX(LINEST($AG32:$AM32,$Z32:$AF32^Данные!$A$106:$A$110),1,5)</f>
        <v>-0.10953910758346869</v>
      </c>
      <c r="AP32" s="74">
        <f>INDEX(LINEST($AG32:$AM32,$Z32:$AF32^Данные!$A$106:$A$110),1,4)</f>
        <v>-1.3241615617168077E-3</v>
      </c>
      <c r="AQ32" s="74">
        <f>INDEX(LINEST($AG32:$AM32,$Z32:$AF32^Данные!$A$106:$A$110),1,3)</f>
        <v>2.2054072683175012E-6</v>
      </c>
      <c r="AR32" s="74">
        <f>INDEX(LINEST($AG32:$AM32,$Z32:$AF32^Данные!$A$106:$A$110),1,2)</f>
        <v>-1.5088911020003815E-9</v>
      </c>
      <c r="AS32" s="74">
        <f>INDEX(LINEST($AG32:$AM32,$Z32:$AF32^Данные!$A$106:$A$110),1,1)</f>
        <v>3.4433246259832717E-13</v>
      </c>
      <c r="AT32" s="75">
        <v>0</v>
      </c>
      <c r="AU32" s="54" t="str">
        <f t="shared" si="8"/>
        <v>Евросоюз</v>
      </c>
      <c r="AV32" s="41"/>
    </row>
    <row r="33" spans="1:48">
      <c r="A33" s="534" t="s">
        <v>696</v>
      </c>
      <c r="B33" s="54" t="e">
        <f>MATCH(A33,Вентиляторы!B$6:B$1864,0)</f>
        <v>#N/A</v>
      </c>
      <c r="C33" s="55" t="e">
        <f ca="1">OFFSET(Вентиляторы!#REF!,B33-1,0)</f>
        <v>#REF!</v>
      </c>
      <c r="D33" s="55" t="e">
        <f t="shared" ca="1" si="0"/>
        <v>#REF!</v>
      </c>
      <c r="E33" s="502" t="e">
        <f ca="1">OFFSET(Вентиляторы!#REF!,B33-1,0)</f>
        <v>#REF!</v>
      </c>
      <c r="F33" s="503" t="s">
        <v>591</v>
      </c>
      <c r="G33" s="56" t="e">
        <f t="shared" si="1"/>
        <v>#REF!</v>
      </c>
      <c r="H33" s="56" t="e">
        <f ca="1">($G33/OFFSET(ПП_Свод!T$3,MATCH(M33,ПП_Свод!B$4:B$213,0),0)-1) &gt; -Задача_Допуск/100</f>
        <v>#REF!</v>
      </c>
      <c r="I33" s="56" t="str">
        <f t="shared" si="2"/>
        <v>Ø250=ЛОЖЬ</v>
      </c>
      <c r="J33" s="57" t="e">
        <f t="shared" ca="1" si="3"/>
        <v>#N/A</v>
      </c>
      <c r="K33" s="148">
        <v>250</v>
      </c>
      <c r="L33" s="148"/>
      <c r="M33" s="54" t="str">
        <f t="shared" si="4"/>
        <v>Ø250</v>
      </c>
      <c r="N33" s="148">
        <v>600</v>
      </c>
      <c r="O33" s="148">
        <v>25</v>
      </c>
      <c r="P33" s="148" t="s">
        <v>123</v>
      </c>
      <c r="Q33" s="148">
        <v>0.22500000000000001</v>
      </c>
      <c r="R33" s="148">
        <v>1.74</v>
      </c>
      <c r="S33" s="103" t="s">
        <v>458</v>
      </c>
      <c r="T33" s="103" t="b">
        <v>1</v>
      </c>
      <c r="U33" s="103" t="b">
        <v>1</v>
      </c>
      <c r="V33" s="100" t="s">
        <v>170</v>
      </c>
      <c r="W33" s="100" t="s">
        <v>170</v>
      </c>
      <c r="X33" s="100" t="s">
        <v>170</v>
      </c>
      <c r="Y33" s="100" t="s">
        <v>25</v>
      </c>
      <c r="Z33" s="58">
        <v>0</v>
      </c>
      <c r="AA33" s="59">
        <v>250</v>
      </c>
      <c r="AB33" s="59">
        <v>600</v>
      </c>
      <c r="AC33" s="59">
        <v>750</v>
      </c>
      <c r="AD33" s="59">
        <v>800</v>
      </c>
      <c r="AE33" s="59">
        <v>1000</v>
      </c>
      <c r="AF33" s="60">
        <v>1160</v>
      </c>
      <c r="AG33" s="58">
        <v>950</v>
      </c>
      <c r="AH33" s="59">
        <v>875</v>
      </c>
      <c r="AI33" s="59">
        <v>600</v>
      </c>
      <c r="AJ33" s="59">
        <v>425</v>
      </c>
      <c r="AK33" s="59">
        <v>375</v>
      </c>
      <c r="AL33" s="59">
        <v>150</v>
      </c>
      <c r="AM33" s="60">
        <v>0</v>
      </c>
      <c r="AN33" s="61">
        <f>INDEX(LINEST($AG33:$AM33,$Z33:$AF33^Данные!$A$106:$A$110),1,6)</f>
        <v>949.98819774505614</v>
      </c>
      <c r="AO33" s="74">
        <f>INDEX(LINEST($AG33:$AM33,$Z33:$AF33^Данные!$A$106:$A$110),1,5)</f>
        <v>-0.27091420965595464</v>
      </c>
      <c r="AP33" s="74">
        <f>INDEX(LINEST($AG33:$AM33,$Z33:$AF33^Данные!$A$106:$A$110),1,4)</f>
        <v>5.5321016725869761E-4</v>
      </c>
      <c r="AQ33" s="74">
        <f>INDEX(LINEST($AG33:$AM33,$Z33:$AF33^Данные!$A$106:$A$110),1,3)</f>
        <v>-3.4465362211040753E-6</v>
      </c>
      <c r="AR33" s="74">
        <f>INDEX(LINEST($AG33:$AM33,$Z33:$AF33^Данные!$A$106:$A$110),1,2)</f>
        <v>3.3391049984897892E-9</v>
      </c>
      <c r="AS33" s="74">
        <f>INDEX(LINEST($AG33:$AM33,$Z33:$AF33^Данные!$A$106:$A$110),1,1)</f>
        <v>-9.7433953464347494E-13</v>
      </c>
      <c r="AT33" s="75">
        <v>0</v>
      </c>
      <c r="AU33" s="54" t="str">
        <f t="shared" si="8"/>
        <v>Евросоюз</v>
      </c>
      <c r="AV33" s="41"/>
    </row>
    <row r="34" spans="1:48">
      <c r="A34" s="536" t="s">
        <v>697</v>
      </c>
      <c r="B34" s="63" t="e">
        <f>MATCH(A34,Вентиляторы!B$6:B$1864,0)</f>
        <v>#N/A</v>
      </c>
      <c r="C34" s="69" t="e">
        <f ca="1">OFFSET(Вентиляторы!#REF!,B34-1,0)</f>
        <v>#REF!</v>
      </c>
      <c r="D34" s="69" t="e">
        <f t="shared" ca="1" si="0"/>
        <v>#REF!</v>
      </c>
      <c r="E34" s="504" t="e">
        <f ca="1">OFFSET(Вентиляторы!#REF!,B34-1,0)</f>
        <v>#REF!</v>
      </c>
      <c r="F34" s="505" t="s">
        <v>591</v>
      </c>
      <c r="G34" s="70" t="e">
        <f t="shared" si="1"/>
        <v>#REF!</v>
      </c>
      <c r="H34" s="70" t="e">
        <f ca="1">($G34/OFFSET(ПП_Свод!T$3,MATCH(M34,ПП_Свод!B$4:B$213,0),0)-1) &gt; -Задача_Допуск/100</f>
        <v>#REF!</v>
      </c>
      <c r="I34" s="70" t="str">
        <f t="shared" si="2"/>
        <v>Ø250=ЛОЖЬ</v>
      </c>
      <c r="J34" s="71" t="e">
        <f t="shared" ca="1" si="3"/>
        <v>#N/A</v>
      </c>
      <c r="K34" s="149">
        <v>250</v>
      </c>
      <c r="L34" s="149"/>
      <c r="M34" s="63" t="str">
        <f t="shared" si="4"/>
        <v>Ø250</v>
      </c>
      <c r="N34" s="149">
        <v>694</v>
      </c>
      <c r="O34" s="149">
        <v>39</v>
      </c>
      <c r="P34" s="149" t="s">
        <v>123</v>
      </c>
      <c r="Q34" s="149">
        <v>0.54500000000000004</v>
      </c>
      <c r="R34" s="149">
        <v>2.56</v>
      </c>
      <c r="S34" s="95" t="s">
        <v>458</v>
      </c>
      <c r="T34" s="95" t="b">
        <v>1</v>
      </c>
      <c r="U34" s="95" t="b">
        <v>0</v>
      </c>
      <c r="V34" s="90" t="s">
        <v>0</v>
      </c>
      <c r="W34" s="90" t="s">
        <v>3</v>
      </c>
      <c r="X34" s="90" t="s">
        <v>170</v>
      </c>
      <c r="Y34" s="90" t="s">
        <v>25</v>
      </c>
      <c r="Z34" s="64">
        <v>0</v>
      </c>
      <c r="AA34" s="65">
        <v>250</v>
      </c>
      <c r="AB34" s="65">
        <v>500</v>
      </c>
      <c r="AC34" s="65">
        <v>1000</v>
      </c>
      <c r="AD34" s="65">
        <v>1400</v>
      </c>
      <c r="AE34" s="65">
        <v>1750</v>
      </c>
      <c r="AF34" s="66">
        <v>1950</v>
      </c>
      <c r="AG34" s="64">
        <v>380</v>
      </c>
      <c r="AH34" s="65">
        <v>370</v>
      </c>
      <c r="AI34" s="65">
        <v>360</v>
      </c>
      <c r="AJ34" s="65">
        <v>300</v>
      </c>
      <c r="AK34" s="65">
        <v>220</v>
      </c>
      <c r="AL34" s="65">
        <v>100</v>
      </c>
      <c r="AM34" s="66">
        <v>0</v>
      </c>
      <c r="AN34" s="67">
        <f>INDEX(LINEST($AG34:$AM34,$Z34:$AF34^Данные!$A$106:$A$110),1,6)</f>
        <v>379.71911111728434</v>
      </c>
      <c r="AO34" s="137">
        <f>INDEX(LINEST($AG34:$AM34,$Z34:$AF34^Данные!$A$106:$A$110),1,5)</f>
        <v>-3.8170631769785753E-2</v>
      </c>
      <c r="AP34" s="137">
        <f>INDEX(LINEST($AG34:$AM34,$Z34:$AF34^Данные!$A$106:$A$110),1,4)</f>
        <v>5.2543137226761409E-5</v>
      </c>
      <c r="AQ34" s="137">
        <f>INDEX(LINEST($AG34:$AM34,$Z34:$AF34^Данные!$A$106:$A$110),1,3)</f>
        <v>-1.6651323215504321E-7</v>
      </c>
      <c r="AR34" s="137">
        <f>INDEX(LINEST($AG34:$AM34,$Z34:$AF34^Данные!$A$106:$A$110),1,2)</f>
        <v>9.8785685670585383E-11</v>
      </c>
      <c r="AS34" s="137">
        <f>INDEX(LINEST($AG34:$AM34,$Z34:$AF34^Данные!$A$106:$A$110),1,1)</f>
        <v>-2.4794541859189768E-14</v>
      </c>
      <c r="AT34" s="138">
        <v>0</v>
      </c>
      <c r="AU34" s="63" t="str">
        <f t="shared" si="8"/>
        <v>Евросоюз</v>
      </c>
      <c r="AV34" s="41"/>
    </row>
    <row r="35" spans="1:48">
      <c r="A35" s="535" t="s">
        <v>698</v>
      </c>
      <c r="B35" s="44">
        <f>MATCH(A35,Вентиляторы!B$6:B$1864,0)</f>
        <v>11</v>
      </c>
      <c r="C35" s="45" t="e">
        <f ca="1">OFFSET(Вентиляторы!#REF!,B35-1,0)</f>
        <v>#REF!</v>
      </c>
      <c r="D35" s="45" t="e">
        <f t="shared" ca="1" si="0"/>
        <v>#REF!</v>
      </c>
      <c r="E35" s="486" t="e">
        <f ca="1">OFFSET(Вентиляторы!#REF!,B35-1,0)</f>
        <v>#REF!</v>
      </c>
      <c r="F35" s="501" t="s">
        <v>591</v>
      </c>
      <c r="G35" s="46" t="e">
        <f t="shared" si="1"/>
        <v>#REF!</v>
      </c>
      <c r="H35" s="46" t="e">
        <f ca="1">($G35/OFFSET(ПП_Свод!T$3,MATCH(M35,ПП_Свод!B$4:B$213,0),0)-1) &gt; -Задача_Допуск/100</f>
        <v>#REF!</v>
      </c>
      <c r="I35" s="46" t="str">
        <f t="shared" ref="I35:I66" si="9">CONCATENATE($M35,"=",IFERROR(AND($S35=Задача_ТипКод,OR(Задача_ПроизводительЛюбой,Задача_ПроизводительТекст=AU35),OR(NOT(Задача_ВентиляторШумоизоляция),T35=Задача_ВентиляторШумоизоляция),OR(NOT(Задача_ВентиляторEC),U35=Задача_ВентиляторEC),Задача_Расход&gt;=Z35, Задача_Расход&lt;=AF35, H35),FALSE))</f>
        <v>Ø315=ЛОЖЬ</v>
      </c>
      <c r="J35" s="47" t="e">
        <f t="shared" ca="1" si="3"/>
        <v>#N/A</v>
      </c>
      <c r="K35" s="147">
        <v>315</v>
      </c>
      <c r="L35" s="147"/>
      <c r="M35" s="44" t="str">
        <f t="shared" si="4"/>
        <v>Ø315</v>
      </c>
      <c r="N35" s="147">
        <v>230</v>
      </c>
      <c r="O35" s="147">
        <v>7.4</v>
      </c>
      <c r="P35" s="147" t="s">
        <v>123</v>
      </c>
      <c r="Q35" s="147">
        <v>0.23</v>
      </c>
      <c r="R35" s="147">
        <v>1</v>
      </c>
      <c r="S35" s="85" t="s">
        <v>458</v>
      </c>
      <c r="T35" s="85" t="b">
        <v>0</v>
      </c>
      <c r="U35" s="85" t="b">
        <v>0</v>
      </c>
      <c r="V35" s="80" t="s">
        <v>17</v>
      </c>
      <c r="W35" s="80" t="s">
        <v>1</v>
      </c>
      <c r="X35" s="80" t="s">
        <v>170</v>
      </c>
      <c r="Y35" s="80" t="s">
        <v>26</v>
      </c>
      <c r="Z35" s="48">
        <v>0</v>
      </c>
      <c r="AA35" s="49">
        <v>250</v>
      </c>
      <c r="AB35" s="49">
        <v>500</v>
      </c>
      <c r="AC35" s="49">
        <v>1000</v>
      </c>
      <c r="AD35" s="49">
        <v>1500</v>
      </c>
      <c r="AE35" s="49">
        <v>1800</v>
      </c>
      <c r="AF35" s="50">
        <v>2080</v>
      </c>
      <c r="AG35" s="48">
        <v>740</v>
      </c>
      <c r="AH35" s="49">
        <v>640</v>
      </c>
      <c r="AI35" s="49">
        <v>565</v>
      </c>
      <c r="AJ35" s="49">
        <v>400</v>
      </c>
      <c r="AK35" s="49">
        <v>270</v>
      </c>
      <c r="AL35" s="49">
        <v>150</v>
      </c>
      <c r="AM35" s="50">
        <v>15</v>
      </c>
      <c r="AN35" s="51">
        <f>INDEX(LINEST($AG35:$AM35,$Z35:$AF35^Данные!$A$106:$A$110),1,6)</f>
        <v>738.59734009994281</v>
      </c>
      <c r="AO35" s="72">
        <f>INDEX(LINEST($AG35:$AM35,$Z35:$AF35^Данные!$A$106:$A$110),1,5)</f>
        <v>-0.36599480474217283</v>
      </c>
      <c r="AP35" s="72">
        <f>INDEX(LINEST($AG35:$AM35,$Z35:$AF35^Данные!$A$106:$A$110),1,4)</f>
        <v>-5.4005167181723525E-5</v>
      </c>
      <c r="AQ35" s="72">
        <f>INDEX(LINEST($AG35:$AM35,$Z35:$AF35^Данные!$A$106:$A$110),1,3)</f>
        <v>1.6113984833227441E-7</v>
      </c>
      <c r="AR35" s="72">
        <f>INDEX(LINEST($AG35:$AM35,$Z35:$AF35^Данные!$A$106:$A$110),1,2)</f>
        <v>-8.3504766912022777E-11</v>
      </c>
      <c r="AS35" s="72">
        <f>INDEX(LINEST($AG35:$AM35,$Z35:$AF35^Данные!$A$106:$A$110),1,1)</f>
        <v>9.8457433039489713E-15</v>
      </c>
      <c r="AT35" s="73">
        <v>0</v>
      </c>
      <c r="AU35" s="44" t="str">
        <f>Производитель_Россия</f>
        <v>Россия</v>
      </c>
      <c r="AV35" s="41"/>
    </row>
    <row r="36" spans="1:48">
      <c r="A36" s="534" t="s">
        <v>699</v>
      </c>
      <c r="B36" s="54" t="e">
        <f>MATCH(A36,Вентиляторы!B$6:B$1864,0)</f>
        <v>#N/A</v>
      </c>
      <c r="C36" s="55" t="e">
        <f ca="1">OFFSET(Вентиляторы!#REF!,B36-1,0)</f>
        <v>#REF!</v>
      </c>
      <c r="D36" s="55" t="e">
        <f t="shared" ca="1" si="0"/>
        <v>#REF!</v>
      </c>
      <c r="E36" s="502" t="e">
        <f ca="1">OFFSET(Вентиляторы!#REF!,B36-1,0)</f>
        <v>#REF!</v>
      </c>
      <c r="F36" s="503" t="s">
        <v>591</v>
      </c>
      <c r="G36" s="56" t="e">
        <f t="shared" si="1"/>
        <v>#REF!</v>
      </c>
      <c r="H36" s="56" t="e">
        <f ca="1">($G36/OFFSET(ПП_Свод!T$3,MATCH(M36,ПП_Свод!B$4:B$213,0),0)-1) &gt; -Задача_Допуск/100</f>
        <v>#REF!</v>
      </c>
      <c r="I36" s="56" t="str">
        <f t="shared" si="9"/>
        <v>Ø315=ЛОЖЬ</v>
      </c>
      <c r="J36" s="57" t="e">
        <f t="shared" ca="1" si="3"/>
        <v>#N/A</v>
      </c>
      <c r="K36" s="148">
        <v>315</v>
      </c>
      <c r="L36" s="148"/>
      <c r="M36" s="54" t="str">
        <f t="shared" si="4"/>
        <v>Ø315</v>
      </c>
      <c r="N36" s="148">
        <v>243</v>
      </c>
      <c r="O36" s="148">
        <v>6.5</v>
      </c>
      <c r="P36" s="148" t="s">
        <v>123</v>
      </c>
      <c r="Q36" s="148">
        <v>0.214</v>
      </c>
      <c r="R36" s="148">
        <v>0.96</v>
      </c>
      <c r="S36" s="103" t="s">
        <v>458</v>
      </c>
      <c r="T36" s="103" t="b">
        <v>0</v>
      </c>
      <c r="U36" s="103" t="b">
        <v>0</v>
      </c>
      <c r="V36" s="100" t="s">
        <v>17</v>
      </c>
      <c r="W36" s="100" t="s">
        <v>1</v>
      </c>
      <c r="X36" s="100" t="s">
        <v>170</v>
      </c>
      <c r="Y36" s="100" t="s">
        <v>171</v>
      </c>
      <c r="Z36" s="58">
        <v>0</v>
      </c>
      <c r="AA36" s="59">
        <v>125</v>
      </c>
      <c r="AB36" s="59">
        <v>400</v>
      </c>
      <c r="AC36" s="59">
        <v>700</v>
      </c>
      <c r="AD36" s="59">
        <v>960</v>
      </c>
      <c r="AE36" s="59">
        <v>1150</v>
      </c>
      <c r="AF36" s="60">
        <v>1300</v>
      </c>
      <c r="AG36" s="58">
        <v>660</v>
      </c>
      <c r="AH36" s="59">
        <v>600</v>
      </c>
      <c r="AI36" s="59">
        <v>500</v>
      </c>
      <c r="AJ36" s="59">
        <v>360</v>
      </c>
      <c r="AK36" s="59">
        <v>250</v>
      </c>
      <c r="AL36" s="59">
        <v>140</v>
      </c>
      <c r="AM36" s="60">
        <v>0</v>
      </c>
      <c r="AN36" s="61">
        <f>INDEX(LINEST($AG36:$AM36,$Z36:$AF36^Данные!$A$106:$A$110),1,6)</f>
        <v>659.44250951311369</v>
      </c>
      <c r="AO36" s="74">
        <f>INDEX(LINEST($AG36:$AM36,$Z36:$AF36^Данные!$A$106:$A$110),1,5)</f>
        <v>-0.57049864623383595</v>
      </c>
      <c r="AP36" s="74">
        <f>INDEX(LINEST($AG36:$AM36,$Z36:$AF36^Данные!$A$106:$A$110),1,4)</f>
        <v>1.157707473326354E-3</v>
      </c>
      <c r="AQ36" s="74">
        <f>INDEX(LINEST($AG36:$AM36,$Z36:$AF36^Данные!$A$106:$A$110),1,3)</f>
        <v>-2.7860596452039845E-6</v>
      </c>
      <c r="AR36" s="74">
        <f>INDEX(LINEST($AG36:$AM36,$Z36:$AF36^Данные!$A$106:$A$110),1,2)</f>
        <v>2.7013625928567038E-9</v>
      </c>
      <c r="AS36" s="74">
        <f>INDEX(LINEST($AG36:$AM36,$Z36:$AF36^Данные!$A$106:$A$110),1,1)</f>
        <v>-9.3440335568259192E-13</v>
      </c>
      <c r="AT36" s="75">
        <v>0</v>
      </c>
      <c r="AU36" s="54" t="str">
        <f t="shared" ref="AU36:AU46" si="10">Производитель_Европа</f>
        <v>Евросоюз</v>
      </c>
      <c r="AV36" s="41"/>
    </row>
    <row r="37" spans="1:48">
      <c r="A37" s="534" t="s">
        <v>700</v>
      </c>
      <c r="B37" s="54" t="e">
        <f>MATCH(A37,Вентиляторы!B$6:B$1864,0)</f>
        <v>#N/A</v>
      </c>
      <c r="C37" s="55" t="e">
        <f ca="1">OFFSET(Вентиляторы!#REF!,B37-1,0)</f>
        <v>#REF!</v>
      </c>
      <c r="D37" s="55" t="e">
        <f t="shared" ca="1" si="0"/>
        <v>#REF!</v>
      </c>
      <c r="E37" s="502" t="e">
        <f ca="1">OFFSET(Вентиляторы!#REF!,B37-1,0)</f>
        <v>#REF!</v>
      </c>
      <c r="F37" s="503" t="s">
        <v>591</v>
      </c>
      <c r="G37" s="56" t="e">
        <f t="shared" si="1"/>
        <v>#REF!</v>
      </c>
      <c r="H37" s="56" t="e">
        <f ca="1">($G37/OFFSET(ПП_Свод!T$3,MATCH(M37,ПП_Свод!B$4:B$213,0),0)-1) &gt; -Задача_Допуск/100</f>
        <v>#REF!</v>
      </c>
      <c r="I37" s="56" t="str">
        <f t="shared" si="9"/>
        <v>Ø315=ЛОЖЬ</v>
      </c>
      <c r="J37" s="57" t="e">
        <f t="shared" ca="1" si="3"/>
        <v>#N/A</v>
      </c>
      <c r="K37" s="148">
        <v>315</v>
      </c>
      <c r="L37" s="148"/>
      <c r="M37" s="54" t="str">
        <f t="shared" si="4"/>
        <v>Ø315</v>
      </c>
      <c r="N37" s="148">
        <v>256</v>
      </c>
      <c r="O37" s="148">
        <v>6.5</v>
      </c>
      <c r="P37" s="148" t="s">
        <v>123</v>
      </c>
      <c r="Q37" s="148">
        <v>0.29199999999999998</v>
      </c>
      <c r="R37" s="148">
        <v>1.27</v>
      </c>
      <c r="S37" s="103" t="s">
        <v>458</v>
      </c>
      <c r="T37" s="103" t="b">
        <v>0</v>
      </c>
      <c r="U37" s="103" t="b">
        <v>0</v>
      </c>
      <c r="V37" s="100" t="s">
        <v>17</v>
      </c>
      <c r="W37" s="100" t="s">
        <v>1</v>
      </c>
      <c r="X37" s="100" t="s">
        <v>170</v>
      </c>
      <c r="Y37" s="100" t="s">
        <v>171</v>
      </c>
      <c r="Z37" s="58">
        <v>0</v>
      </c>
      <c r="AA37" s="59">
        <v>200</v>
      </c>
      <c r="AB37" s="59">
        <v>500</v>
      </c>
      <c r="AC37" s="59">
        <v>700</v>
      </c>
      <c r="AD37" s="59">
        <v>1000</v>
      </c>
      <c r="AE37" s="59">
        <v>1350</v>
      </c>
      <c r="AF37" s="60">
        <v>1700</v>
      </c>
      <c r="AG37" s="58">
        <v>700</v>
      </c>
      <c r="AH37" s="59">
        <v>600</v>
      </c>
      <c r="AI37" s="59">
        <v>450</v>
      </c>
      <c r="AJ37" s="59">
        <v>360</v>
      </c>
      <c r="AK37" s="59">
        <v>280</v>
      </c>
      <c r="AL37" s="59">
        <v>140</v>
      </c>
      <c r="AM37" s="60">
        <v>0</v>
      </c>
      <c r="AN37" s="61">
        <f>INDEX(LINEST($AG37:$AM37,$Z37:$AF37^Данные!$A$106:$A$110),1,6)</f>
        <v>699.40831282007275</v>
      </c>
      <c r="AO37" s="74">
        <f>INDEX(LINEST($AG37:$AM37,$Z37:$AF37^Данные!$A$106:$A$110),1,5)</f>
        <v>-0.34050945337681848</v>
      </c>
      <c r="AP37" s="74">
        <f>INDEX(LINEST($AG37:$AM37,$Z37:$AF37^Данные!$A$106:$A$110),1,4)</f>
        <v>-1.1139827632783369E-3</v>
      </c>
      <c r="AQ37" s="74">
        <f>INDEX(LINEST($AG37:$AM37,$Z37:$AF37^Данные!$A$106:$A$110),1,3)</f>
        <v>2.2471064687373178E-6</v>
      </c>
      <c r="AR37" s="74">
        <f>INDEX(LINEST($AG37:$AM37,$Z37:$AF37^Данные!$A$106:$A$110),1,2)</f>
        <v>-1.5930297046844311E-9</v>
      </c>
      <c r="AS37" s="74">
        <f>INDEX(LINEST($AG37:$AM37,$Z37:$AF37^Данные!$A$106:$A$110),1,1)</f>
        <v>3.7777399197759514E-13</v>
      </c>
      <c r="AT37" s="75">
        <v>0</v>
      </c>
      <c r="AU37" s="54" t="str">
        <f t="shared" si="10"/>
        <v>Евросоюз</v>
      </c>
      <c r="AV37" s="41"/>
    </row>
    <row r="38" spans="1:48">
      <c r="A38" s="534" t="s">
        <v>701</v>
      </c>
      <c r="B38" s="54" t="e">
        <f>MATCH(A38,Вентиляторы!B$6:B$1864,0)</f>
        <v>#N/A</v>
      </c>
      <c r="C38" s="55" t="e">
        <f ca="1">OFFSET(Вентиляторы!#REF!,B38-1,0)</f>
        <v>#REF!</v>
      </c>
      <c r="D38" s="55" t="e">
        <f t="shared" ca="1" si="0"/>
        <v>#REF!</v>
      </c>
      <c r="E38" s="502" t="e">
        <f ca="1">OFFSET(Вентиляторы!#REF!,B38-1,0)</f>
        <v>#REF!</v>
      </c>
      <c r="F38" s="503" t="s">
        <v>591</v>
      </c>
      <c r="G38" s="56" t="e">
        <f t="shared" si="1"/>
        <v>#REF!</v>
      </c>
      <c r="H38" s="56" t="e">
        <f ca="1">($G38/OFFSET(ПП_Свод!T$3,MATCH(M38,ПП_Свод!B$4:B$213,0),0)-1) &gt; -Задача_Допуск/100</f>
        <v>#REF!</v>
      </c>
      <c r="I38" s="56" t="str">
        <f t="shared" si="9"/>
        <v>Ø315=ЛОЖЬ</v>
      </c>
      <c r="J38" s="57" t="e">
        <f t="shared" ca="1" si="3"/>
        <v>#N/A</v>
      </c>
      <c r="K38" s="148">
        <v>315</v>
      </c>
      <c r="L38" s="148"/>
      <c r="M38" s="54" t="str">
        <f t="shared" si="4"/>
        <v>Ø315</v>
      </c>
      <c r="N38" s="148">
        <v>250</v>
      </c>
      <c r="O38" s="148">
        <v>4.5999999999999996</v>
      </c>
      <c r="P38" s="148" t="s">
        <v>123</v>
      </c>
      <c r="Q38" s="148">
        <v>0.16600000000000001</v>
      </c>
      <c r="R38" s="148">
        <v>3</v>
      </c>
      <c r="S38" s="103" t="s">
        <v>458</v>
      </c>
      <c r="T38" s="103" t="b">
        <v>0</v>
      </c>
      <c r="U38" s="103" t="b">
        <v>1</v>
      </c>
      <c r="V38" s="100" t="s">
        <v>170</v>
      </c>
      <c r="W38" s="100" t="s">
        <v>170</v>
      </c>
      <c r="X38" s="100" t="s">
        <v>170</v>
      </c>
      <c r="Y38" s="100" t="s">
        <v>26</v>
      </c>
      <c r="Z38" s="58">
        <v>0</v>
      </c>
      <c r="AA38" s="59">
        <v>130</v>
      </c>
      <c r="AB38" s="59">
        <v>600</v>
      </c>
      <c r="AC38" s="59">
        <v>800</v>
      </c>
      <c r="AD38" s="59">
        <v>1000</v>
      </c>
      <c r="AE38" s="59">
        <v>1200</v>
      </c>
      <c r="AF38" s="60">
        <v>1330</v>
      </c>
      <c r="AG38" s="58">
        <v>670</v>
      </c>
      <c r="AH38" s="59">
        <v>600</v>
      </c>
      <c r="AI38" s="59">
        <v>420</v>
      </c>
      <c r="AJ38" s="59">
        <v>340</v>
      </c>
      <c r="AK38" s="59">
        <v>230</v>
      </c>
      <c r="AL38" s="59">
        <v>100</v>
      </c>
      <c r="AM38" s="60">
        <v>0</v>
      </c>
      <c r="AN38" s="61">
        <f>INDEX(LINEST($AG38:$AM38,$Z38:$AF38^Данные!$A$106:$A$110),1,6)</f>
        <v>670.08955991129176</v>
      </c>
      <c r="AO38" s="74">
        <f>INDEX(LINEST($AG38:$AM38,$Z38:$AF38^Данные!$A$106:$A$110),1,5)</f>
        <v>-0.61033313887189566</v>
      </c>
      <c r="AP38" s="74">
        <f>INDEX(LINEST($AG38:$AM38,$Z38:$AF38^Данные!$A$106:$A$110),1,4)</f>
        <v>5.9612539152761683E-4</v>
      </c>
      <c r="AQ38" s="74">
        <f>INDEX(LINEST($AG38:$AM38,$Z38:$AF38^Данные!$A$106:$A$110),1,3)</f>
        <v>-4.6104617711016073E-7</v>
      </c>
      <c r="AR38" s="74">
        <f>INDEX(LINEST($AG38:$AM38,$Z38:$AF38^Данные!$A$106:$A$110),1,2)</f>
        <v>-1.7198349657365505E-11</v>
      </c>
      <c r="AS38" s="74">
        <f>INDEX(LINEST($AG38:$AM38,$Z38:$AF38^Данные!$A$106:$A$110),1,1)</f>
        <v>5.4304395537478144E-14</v>
      </c>
      <c r="AT38" s="75">
        <v>0</v>
      </c>
      <c r="AU38" s="54" t="str">
        <f t="shared" si="10"/>
        <v>Евросоюз</v>
      </c>
      <c r="AV38" s="41"/>
    </row>
    <row r="39" spans="1:48">
      <c r="A39" s="534" t="s">
        <v>702</v>
      </c>
      <c r="B39" s="54" t="e">
        <f>MATCH(A39,Вентиляторы!B$6:B$1864,0)</f>
        <v>#N/A</v>
      </c>
      <c r="C39" s="55" t="e">
        <f ca="1">OFFSET(Вентиляторы!#REF!,B39-1,0)</f>
        <v>#REF!</v>
      </c>
      <c r="D39" s="55" t="e">
        <f t="shared" ca="1" si="0"/>
        <v>#REF!</v>
      </c>
      <c r="E39" s="502" t="e">
        <f ca="1">OFFSET(Вентиляторы!#REF!,B39-1,0)</f>
        <v>#REF!</v>
      </c>
      <c r="F39" s="503" t="s">
        <v>591</v>
      </c>
      <c r="G39" s="56" t="e">
        <f t="shared" si="1"/>
        <v>#REF!</v>
      </c>
      <c r="H39" s="56" t="e">
        <f ca="1">($G39/OFFSET(ПП_Свод!T$3,MATCH(M39,ПП_Свод!B$4:B$213,0),0)-1) &gt; -Задача_Допуск/100</f>
        <v>#REF!</v>
      </c>
      <c r="I39" s="56" t="str">
        <f t="shared" si="9"/>
        <v>Ø315=ЛОЖЬ</v>
      </c>
      <c r="J39" s="57" t="e">
        <f t="shared" ca="1" si="3"/>
        <v>#N/A</v>
      </c>
      <c r="K39" s="148">
        <v>315</v>
      </c>
      <c r="L39" s="148"/>
      <c r="M39" s="54" t="str">
        <f t="shared" si="4"/>
        <v>Ø315</v>
      </c>
      <c r="N39" s="148">
        <v>694</v>
      </c>
      <c r="O39" s="148">
        <v>47</v>
      </c>
      <c r="P39" s="148" t="s">
        <v>123</v>
      </c>
      <c r="Q39" s="148">
        <v>0.95</v>
      </c>
      <c r="R39" s="148">
        <v>4.79</v>
      </c>
      <c r="S39" s="103" t="s">
        <v>458</v>
      </c>
      <c r="T39" s="103" t="b">
        <v>1</v>
      </c>
      <c r="U39" s="103" t="b">
        <v>0</v>
      </c>
      <c r="V39" s="100" t="s">
        <v>18</v>
      </c>
      <c r="W39" s="100" t="s">
        <v>6</v>
      </c>
      <c r="X39" s="100" t="s">
        <v>170</v>
      </c>
      <c r="Y39" s="100" t="s">
        <v>26</v>
      </c>
      <c r="Z39" s="58">
        <v>0</v>
      </c>
      <c r="AA39" s="59">
        <v>300</v>
      </c>
      <c r="AB39" s="59">
        <v>850</v>
      </c>
      <c r="AC39" s="59">
        <v>1300</v>
      </c>
      <c r="AD39" s="59">
        <v>1700</v>
      </c>
      <c r="AE39" s="59">
        <v>2000</v>
      </c>
      <c r="AF39" s="60">
        <v>2500</v>
      </c>
      <c r="AG39" s="58">
        <v>410</v>
      </c>
      <c r="AH39" s="59">
        <v>420</v>
      </c>
      <c r="AI39" s="59">
        <v>400</v>
      </c>
      <c r="AJ39" s="59">
        <v>360</v>
      </c>
      <c r="AK39" s="59">
        <v>300</v>
      </c>
      <c r="AL39" s="59">
        <v>210</v>
      </c>
      <c r="AM39" s="60">
        <v>0</v>
      </c>
      <c r="AN39" s="61">
        <f>INDEX(LINEST($AG39:$AM39,$Z39:$AF39^Данные!$A$106:$A$110),1,6)</f>
        <v>409.79310210272723</v>
      </c>
      <c r="AO39" s="74">
        <f>INDEX(LINEST($AG39:$AM39,$Z39:$AF39^Данные!$A$106:$A$110),1,5)</f>
        <v>0.10237719892038215</v>
      </c>
      <c r="AP39" s="74">
        <f>INDEX(LINEST($AG39:$AM39,$Z39:$AF39^Данные!$A$106:$A$110),1,4)</f>
        <v>-2.9504502128535506E-4</v>
      </c>
      <c r="AQ39" s="74">
        <f>INDEX(LINEST($AG39:$AM39,$Z39:$AF39^Данные!$A$106:$A$110),1,3)</f>
        <v>2.8829161134300204E-7</v>
      </c>
      <c r="AR39" s="74">
        <f>INDEX(LINEST($AG39:$AM39,$Z39:$AF39^Данные!$A$106:$A$110),1,2)</f>
        <v>-1.3727724541916625E-10</v>
      </c>
      <c r="AS39" s="74">
        <f>INDEX(LINEST($AG39:$AM39,$Z39:$AF39^Данные!$A$106:$A$110),1,1)</f>
        <v>2.0848613583722588E-14</v>
      </c>
      <c r="AT39" s="75">
        <v>0</v>
      </c>
      <c r="AU39" s="54" t="str">
        <f t="shared" si="10"/>
        <v>Евросоюз</v>
      </c>
      <c r="AV39" s="41"/>
    </row>
    <row r="40" spans="1:48">
      <c r="A40" s="534" t="s">
        <v>703</v>
      </c>
      <c r="B40" s="54" t="e">
        <f>MATCH(A40,Вентиляторы!B$6:B$1864,0)</f>
        <v>#N/A</v>
      </c>
      <c r="C40" s="55" t="e">
        <f ca="1">OFFSET(Вентиляторы!#REF!,B40-1,0)</f>
        <v>#REF!</v>
      </c>
      <c r="D40" s="55" t="e">
        <f t="shared" ca="1" si="0"/>
        <v>#REF!</v>
      </c>
      <c r="E40" s="502" t="e">
        <f ca="1">OFFSET(Вентиляторы!#REF!,B40-1,0)</f>
        <v>#REF!</v>
      </c>
      <c r="F40" s="503" t="s">
        <v>591</v>
      </c>
      <c r="G40" s="56" t="e">
        <f t="shared" si="1"/>
        <v>#REF!</v>
      </c>
      <c r="H40" s="56" t="e">
        <f ca="1">($G40/OFFSET(ПП_Свод!T$3,MATCH(M40,ПП_Свод!B$4:B$213,0),0)-1) &gt; -Задача_Допуск/100</f>
        <v>#REF!</v>
      </c>
      <c r="I40" s="56" t="str">
        <f t="shared" si="9"/>
        <v>Ø315=ЛОЖЬ</v>
      </c>
      <c r="J40" s="57" t="e">
        <f t="shared" ca="1" si="3"/>
        <v>#N/A</v>
      </c>
      <c r="K40" s="148">
        <v>315</v>
      </c>
      <c r="L40" s="148"/>
      <c r="M40" s="54" t="str">
        <f t="shared" si="4"/>
        <v>Ø315</v>
      </c>
      <c r="N40" s="148">
        <v>768</v>
      </c>
      <c r="O40" s="148">
        <v>63</v>
      </c>
      <c r="P40" s="148" t="s">
        <v>123</v>
      </c>
      <c r="Q40" s="148">
        <v>1.5049999999999999</v>
      </c>
      <c r="R40" s="148">
        <v>6.61</v>
      </c>
      <c r="S40" s="103" t="s">
        <v>458</v>
      </c>
      <c r="T40" s="103" t="b">
        <v>1</v>
      </c>
      <c r="U40" s="103" t="b">
        <v>0</v>
      </c>
      <c r="V40" s="100" t="s">
        <v>18</v>
      </c>
      <c r="W40" s="100" t="s">
        <v>7</v>
      </c>
      <c r="X40" s="100" t="s">
        <v>170</v>
      </c>
      <c r="Y40" s="100" t="s">
        <v>26</v>
      </c>
      <c r="Z40" s="58">
        <v>0</v>
      </c>
      <c r="AA40" s="59">
        <v>200</v>
      </c>
      <c r="AB40" s="59">
        <v>400</v>
      </c>
      <c r="AC40" s="59">
        <v>1500</v>
      </c>
      <c r="AD40" s="59">
        <v>2000</v>
      </c>
      <c r="AE40" s="59">
        <v>2500</v>
      </c>
      <c r="AF40" s="60">
        <v>3500</v>
      </c>
      <c r="AG40" s="58">
        <v>580</v>
      </c>
      <c r="AH40" s="59">
        <v>570</v>
      </c>
      <c r="AI40" s="59">
        <v>590</v>
      </c>
      <c r="AJ40" s="59">
        <v>500</v>
      </c>
      <c r="AK40" s="59">
        <v>460</v>
      </c>
      <c r="AL40" s="59">
        <v>350</v>
      </c>
      <c r="AM40" s="60">
        <v>0</v>
      </c>
      <c r="AN40" s="61">
        <f>INDEX(LINEST($AG40:$AM40,$Z40:$AF40^Данные!$A$106:$A$110),1,6)</f>
        <v>575.13360944091892</v>
      </c>
      <c r="AO40" s="74">
        <f>INDEX(LINEST($AG40:$AM40,$Z40:$AF40^Данные!$A$106:$A$110),1,5)</f>
        <v>9.9907808462590744E-2</v>
      </c>
      <c r="AP40" s="74">
        <f>INDEX(LINEST($AG40:$AM40,$Z40:$AF40^Данные!$A$106:$A$110),1,4)</f>
        <v>-3.1693496389801387E-4</v>
      </c>
      <c r="AQ40" s="74">
        <f>INDEX(LINEST($AG40:$AM40,$Z40:$AF40^Данные!$A$106:$A$110),1,3)</f>
        <v>2.6168307922174502E-7</v>
      </c>
      <c r="AR40" s="74">
        <f>INDEX(LINEST($AG40:$AM40,$Z40:$AF40^Данные!$A$106:$A$110),1,2)</f>
        <v>-9.3627828200908772E-11</v>
      </c>
      <c r="AS40" s="74">
        <f>INDEX(LINEST($AG40:$AM40,$Z40:$AF40^Данные!$A$106:$A$110),1,1)</f>
        <v>1.1020001050718136E-14</v>
      </c>
      <c r="AT40" s="75">
        <v>0</v>
      </c>
      <c r="AU40" s="54" t="str">
        <f t="shared" si="10"/>
        <v>Евросоюз</v>
      </c>
      <c r="AV40" s="41"/>
    </row>
    <row r="41" spans="1:48">
      <c r="A41" s="536" t="s">
        <v>704</v>
      </c>
      <c r="B41" s="63" t="e">
        <f>MATCH(A41,Вентиляторы!B$6:B$1864,0)</f>
        <v>#N/A</v>
      </c>
      <c r="C41" s="69" t="e">
        <f ca="1">OFFSET(Вентиляторы!#REF!,B41-1,0)</f>
        <v>#REF!</v>
      </c>
      <c r="D41" s="69" t="e">
        <f t="shared" ca="1" si="0"/>
        <v>#REF!</v>
      </c>
      <c r="E41" s="504" t="e">
        <f ca="1">OFFSET(Вентиляторы!#REF!,B41-1,0)</f>
        <v>#REF!</v>
      </c>
      <c r="F41" s="505" t="s">
        <v>591</v>
      </c>
      <c r="G41" s="70" t="e">
        <f t="shared" si="1"/>
        <v>#REF!</v>
      </c>
      <c r="H41" s="70" t="e">
        <f ca="1">($G41/OFFSET(ПП_Свод!T$3,MATCH(M41,ПП_Свод!B$4:B$213,0),0)-1) &gt; -Задача_Допуск/100</f>
        <v>#REF!</v>
      </c>
      <c r="I41" s="70" t="str">
        <f t="shared" si="9"/>
        <v>Ø315=ЛОЖЬ</v>
      </c>
      <c r="J41" s="71" t="e">
        <f t="shared" ca="1" si="3"/>
        <v>#N/A</v>
      </c>
      <c r="K41" s="149">
        <v>315</v>
      </c>
      <c r="L41" s="149"/>
      <c r="M41" s="63" t="str">
        <f t="shared" si="4"/>
        <v>Ø315</v>
      </c>
      <c r="N41" s="149">
        <v>675</v>
      </c>
      <c r="O41" s="149">
        <v>31</v>
      </c>
      <c r="P41" s="149" t="s">
        <v>123</v>
      </c>
      <c r="Q41" s="149">
        <v>0.4</v>
      </c>
      <c r="R41" s="149">
        <v>3</v>
      </c>
      <c r="S41" s="95" t="s">
        <v>458</v>
      </c>
      <c r="T41" s="95" t="b">
        <v>1</v>
      </c>
      <c r="U41" s="95" t="b">
        <v>1</v>
      </c>
      <c r="V41" s="90" t="s">
        <v>170</v>
      </c>
      <c r="W41" s="90" t="s">
        <v>170</v>
      </c>
      <c r="X41" s="90" t="s">
        <v>170</v>
      </c>
      <c r="Y41" s="90" t="s">
        <v>26</v>
      </c>
      <c r="Z41" s="64">
        <v>0</v>
      </c>
      <c r="AA41" s="65">
        <v>250</v>
      </c>
      <c r="AB41" s="65">
        <v>750</v>
      </c>
      <c r="AC41" s="65">
        <v>1000</v>
      </c>
      <c r="AD41" s="65">
        <v>1350</v>
      </c>
      <c r="AE41" s="65">
        <v>1500</v>
      </c>
      <c r="AF41" s="66">
        <v>1650</v>
      </c>
      <c r="AG41" s="64">
        <v>950</v>
      </c>
      <c r="AH41" s="65">
        <v>900</v>
      </c>
      <c r="AI41" s="65">
        <v>775</v>
      </c>
      <c r="AJ41" s="65">
        <v>650</v>
      </c>
      <c r="AK41" s="65">
        <v>375</v>
      </c>
      <c r="AL41" s="65">
        <v>200</v>
      </c>
      <c r="AM41" s="66">
        <v>0</v>
      </c>
      <c r="AN41" s="67">
        <f>INDEX(LINEST($AG41:$AM41,$Z41:$AF41^Данные!$A$106:$A$110),1,6)</f>
        <v>949.92909639288757</v>
      </c>
      <c r="AO41" s="137">
        <f>INDEX(LINEST($AG41:$AM41,$Z41:$AF41^Данные!$A$106:$A$110),1,5)</f>
        <v>-0.23597075261031769</v>
      </c>
      <c r="AP41" s="137">
        <f>INDEX(LINEST($AG41:$AM41,$Z41:$AF41^Данные!$A$106:$A$110),1,4)</f>
        <v>2.3551158364571302E-4</v>
      </c>
      <c r="AQ41" s="137">
        <f>INDEX(LINEST($AG41:$AM41,$Z41:$AF41^Данные!$A$106:$A$110),1,3)</f>
        <v>-3.6597114287096904E-7</v>
      </c>
      <c r="AR41" s="137">
        <f>INDEX(LINEST($AG41:$AM41,$Z41:$AF41^Данные!$A$106:$A$110),1,2)</f>
        <v>8.2458357985979096E-11</v>
      </c>
      <c r="AS41" s="137">
        <f>INDEX(LINEST($AG41:$AM41,$Z41:$AF41^Данные!$A$106:$A$110),1,1)</f>
        <v>-1.3874446479420408E-14</v>
      </c>
      <c r="AT41" s="138">
        <v>0</v>
      </c>
      <c r="AU41" s="63" t="str">
        <f t="shared" si="10"/>
        <v>Евросоюз</v>
      </c>
      <c r="AV41" s="41"/>
    </row>
    <row r="42" spans="1:48">
      <c r="A42" s="535" t="s">
        <v>705</v>
      </c>
      <c r="B42" s="44" t="e">
        <f>MATCH(A42,Вентиляторы!B$6:B$1864,0)</f>
        <v>#N/A</v>
      </c>
      <c r="C42" s="45" t="e">
        <f ca="1">OFFSET(Вентиляторы!#REF!,B42-1,0)</f>
        <v>#REF!</v>
      </c>
      <c r="D42" s="45" t="e">
        <f t="shared" ca="1" si="0"/>
        <v>#REF!</v>
      </c>
      <c r="E42" s="486" t="e">
        <f ca="1">OFFSET(Вентиляторы!#REF!,B42-1,0)</f>
        <v>#REF!</v>
      </c>
      <c r="F42" s="501" t="s">
        <v>591</v>
      </c>
      <c r="G42" s="46" t="e">
        <f t="shared" si="1"/>
        <v>#REF!</v>
      </c>
      <c r="H42" s="46" t="e">
        <f ca="1">($G42/OFFSET(ПП_Свод!T$3,MATCH(M42,ПП_Свод!B$4:B$213,0),0)-1) &gt; -Задача_Допуск/100</f>
        <v>#REF!</v>
      </c>
      <c r="I42" s="46" t="str">
        <f t="shared" si="9"/>
        <v>400x200=ЛОЖЬ</v>
      </c>
      <c r="J42" s="47" t="e">
        <f t="shared" ca="1" si="3"/>
        <v>#N/A</v>
      </c>
      <c r="K42" s="147">
        <v>400</v>
      </c>
      <c r="L42" s="147">
        <v>200</v>
      </c>
      <c r="M42" s="44" t="str">
        <f t="shared" si="4"/>
        <v>400x200</v>
      </c>
      <c r="N42" s="147">
        <v>455</v>
      </c>
      <c r="O42" s="147">
        <v>11</v>
      </c>
      <c r="P42" s="147" t="s">
        <v>43</v>
      </c>
      <c r="Q42" s="147">
        <v>0.31</v>
      </c>
      <c r="R42" s="147">
        <v>0.51</v>
      </c>
      <c r="S42" s="85" t="s">
        <v>459</v>
      </c>
      <c r="T42" s="85" t="b">
        <v>0</v>
      </c>
      <c r="U42" s="85" t="b">
        <v>0</v>
      </c>
      <c r="V42" s="80" t="s">
        <v>170</v>
      </c>
      <c r="W42" s="80" t="s">
        <v>9</v>
      </c>
      <c r="X42" s="139" t="s">
        <v>227</v>
      </c>
      <c r="Y42" s="80" t="s">
        <v>27</v>
      </c>
      <c r="Z42" s="48">
        <v>0</v>
      </c>
      <c r="AA42" s="49">
        <v>140</v>
      </c>
      <c r="AB42" s="49">
        <v>300</v>
      </c>
      <c r="AC42" s="49">
        <v>450</v>
      </c>
      <c r="AD42" s="49">
        <v>600</v>
      </c>
      <c r="AE42" s="49">
        <v>750</v>
      </c>
      <c r="AF42" s="50">
        <v>970</v>
      </c>
      <c r="AG42" s="48">
        <v>228</v>
      </c>
      <c r="AH42" s="49">
        <v>218</v>
      </c>
      <c r="AI42" s="49">
        <v>220</v>
      </c>
      <c r="AJ42" s="49">
        <v>215</v>
      </c>
      <c r="AK42" s="49">
        <v>180</v>
      </c>
      <c r="AL42" s="49">
        <v>120</v>
      </c>
      <c r="AM42" s="50">
        <v>0</v>
      </c>
      <c r="AN42" s="51">
        <f>INDEX(LINEST($AG42:$AM42,$Z42:$AF42^Данные!$A$106:$A$110),1,6)</f>
        <v>228.08081885658319</v>
      </c>
      <c r="AO42" s="72">
        <f>INDEX(LINEST($AG42:$AM42,$Z42:$AF42^Данные!$A$106:$A$110),1,5)</f>
        <v>-0.18543330455110774</v>
      </c>
      <c r="AP42" s="72">
        <f>INDEX(LINEST($AG42:$AM42,$Z42:$AF42^Данные!$A$106:$A$110),1,4)</f>
        <v>1.0366288808126092E-3</v>
      </c>
      <c r="AQ42" s="72">
        <f>INDEX(LINEST($AG42:$AM42,$Z42:$AF42^Данные!$A$106:$A$110),1,3)</f>
        <v>-1.8596772816333302E-6</v>
      </c>
      <c r="AR42" s="72">
        <f>INDEX(LINEST($AG42:$AM42,$Z42:$AF42^Данные!$A$106:$A$110),1,2)</f>
        <v>6.4008477124936861E-10</v>
      </c>
      <c r="AS42" s="72">
        <f>INDEX(LINEST($AG42:$AM42,$Z42:$AF42^Данные!$A$106:$A$110),1,1)</f>
        <v>1.2468281081379334E-13</v>
      </c>
      <c r="AT42" s="73">
        <v>0</v>
      </c>
      <c r="AU42" s="44" t="str">
        <f t="shared" si="10"/>
        <v>Евросоюз</v>
      </c>
      <c r="AV42" s="41"/>
    </row>
    <row r="43" spans="1:48">
      <c r="A43" s="536" t="s">
        <v>706</v>
      </c>
      <c r="B43" s="63" t="e">
        <f>MATCH(A43,Вентиляторы!B$6:B$1864,0)</f>
        <v>#N/A</v>
      </c>
      <c r="C43" s="69" t="e">
        <f ca="1">OFFSET(Вентиляторы!#REF!,B43-1,0)</f>
        <v>#REF!</v>
      </c>
      <c r="D43" s="69" t="e">
        <f t="shared" ref="D43:D75" ca="1" si="11">MID(C43,SEARCH("LV-",C43,1),IFERROR(SEARCH("(",C43,1),LEN(C43)+2)-SEARCH("LV-",C43,1)-1)</f>
        <v>#REF!</v>
      </c>
      <c r="E43" s="504" t="e">
        <f ca="1">OFFSET(Вентиляторы!#REF!,B43-1,0)</f>
        <v>#REF!</v>
      </c>
      <c r="F43" s="505" t="s">
        <v>591</v>
      </c>
      <c r="G43" s="70" t="e">
        <f t="shared" ref="G43:G67" si="12">AN43+Задача_Расход*(AO43+Задача_Расход*(AP43+Задача_Расход*(AQ43+Задача_Расход*(AR43+Задача_Расход*(AS43+Задача_Расход*AT43)))))</f>
        <v>#REF!</v>
      </c>
      <c r="H43" s="70" t="e">
        <f ca="1">($G43/OFFSET(ПП_Свод!T$3,MATCH(M43,ПП_Свод!B$4:B$213,0),0)-1) &gt; -Задача_Допуск/100</f>
        <v>#REF!</v>
      </c>
      <c r="I43" s="70" t="str">
        <f t="shared" si="9"/>
        <v>400x200=ЛОЖЬ</v>
      </c>
      <c r="J43" s="71" t="e">
        <f t="shared" ca="1" si="3"/>
        <v>#N/A</v>
      </c>
      <c r="K43" s="149">
        <v>400</v>
      </c>
      <c r="L43" s="149">
        <v>200</v>
      </c>
      <c r="M43" s="63" t="str">
        <f t="shared" ref="M43:M69" si="13">IF(L43&gt;0,IF(K43&gt;0,CONCATENATE(K43,"x",L43),L43),CONCATENATE("Ø",K43))</f>
        <v>400x200</v>
      </c>
      <c r="N43" s="149">
        <v>455</v>
      </c>
      <c r="O43" s="149">
        <v>12</v>
      </c>
      <c r="P43" s="149" t="s">
        <v>123</v>
      </c>
      <c r="Q43" s="149">
        <v>0.36</v>
      </c>
      <c r="R43" s="149">
        <v>1.8</v>
      </c>
      <c r="S43" s="95" t="s">
        <v>459</v>
      </c>
      <c r="T43" s="95" t="b">
        <v>0</v>
      </c>
      <c r="U43" s="95" t="b">
        <v>0</v>
      </c>
      <c r="V43" s="90" t="s">
        <v>17</v>
      </c>
      <c r="W43" s="90" t="s">
        <v>2</v>
      </c>
      <c r="X43" s="141" t="s">
        <v>170</v>
      </c>
      <c r="Y43" s="90" t="s">
        <v>27</v>
      </c>
      <c r="Z43" s="64">
        <v>0</v>
      </c>
      <c r="AA43" s="65">
        <v>150</v>
      </c>
      <c r="AB43" s="65">
        <v>300</v>
      </c>
      <c r="AC43" s="65">
        <v>450</v>
      </c>
      <c r="AD43" s="65">
        <v>600</v>
      </c>
      <c r="AE43" s="65">
        <v>800</v>
      </c>
      <c r="AF43" s="66">
        <v>970</v>
      </c>
      <c r="AG43" s="64">
        <v>228</v>
      </c>
      <c r="AH43" s="65">
        <v>225</v>
      </c>
      <c r="AI43" s="65">
        <v>225</v>
      </c>
      <c r="AJ43" s="65">
        <v>215</v>
      </c>
      <c r="AK43" s="65">
        <v>175</v>
      </c>
      <c r="AL43" s="65">
        <v>100</v>
      </c>
      <c r="AM43" s="66">
        <v>0</v>
      </c>
      <c r="AN43" s="67">
        <f>INDEX(LINEST($AG43:$AM43,$Z43:$AF43^Данные!$A$106:$A$110),1,6)</f>
        <v>228.14340583117527</v>
      </c>
      <c r="AO43" s="137">
        <f>INDEX(LINEST($AG43:$AM43,$Z43:$AF43^Данные!$A$106:$A$110),1,5)</f>
        <v>-0.15207589265742966</v>
      </c>
      <c r="AP43" s="137">
        <f>INDEX(LINEST($AG43:$AM43,$Z43:$AF43^Данные!$A$106:$A$110),1,4)</f>
        <v>1.3170614778784445E-3</v>
      </c>
      <c r="AQ43" s="137">
        <f>INDEX(LINEST($AG43:$AM43,$Z43:$AF43^Данные!$A$106:$A$110),1,3)</f>
        <v>-3.7185913553341477E-6</v>
      </c>
      <c r="AR43" s="137">
        <f>INDEX(LINEST($AG43:$AM43,$Z43:$AF43^Данные!$A$106:$A$110),1,2)</f>
        <v>3.6586880271270959E-9</v>
      </c>
      <c r="AS43" s="137">
        <f>INDEX(LINEST($AG43:$AM43,$Z43:$AF43^Данные!$A$106:$A$110),1,1)</f>
        <v>-1.356563972810557E-12</v>
      </c>
      <c r="AT43" s="138">
        <v>0</v>
      </c>
      <c r="AU43" s="63" t="str">
        <f t="shared" si="10"/>
        <v>Евросоюз</v>
      </c>
      <c r="AV43" s="41"/>
    </row>
    <row r="44" spans="1:48">
      <c r="A44" s="535" t="s">
        <v>707</v>
      </c>
      <c r="B44" s="44" t="e">
        <f>MATCH(A44,Вентиляторы!B$6:B$1864,0)</f>
        <v>#N/A</v>
      </c>
      <c r="C44" s="45" t="e">
        <f ca="1">OFFSET(Вентиляторы!#REF!,B44-1,0)</f>
        <v>#REF!</v>
      </c>
      <c r="D44" s="45" t="e">
        <f t="shared" ca="1" si="11"/>
        <v>#REF!</v>
      </c>
      <c r="E44" s="486" t="e">
        <f ca="1">OFFSET(Вентиляторы!#REF!,B44-1,0)</f>
        <v>#REF!</v>
      </c>
      <c r="F44" s="501" t="s">
        <v>591</v>
      </c>
      <c r="G44" s="46" t="e">
        <f t="shared" si="12"/>
        <v>#REF!</v>
      </c>
      <c r="H44" s="46" t="e">
        <f ca="1">($G44/OFFSET(ПП_Свод!T$3,MATCH(M44,ПП_Свод!B$4:B$213,0),0)-1) &gt; -Задача_Допуск/100</f>
        <v>#REF!</v>
      </c>
      <c r="I44" s="46" t="str">
        <f t="shared" si="9"/>
        <v>500x250=ЛОЖЬ</v>
      </c>
      <c r="J44" s="47" t="e">
        <f t="shared" ca="1" si="3"/>
        <v>#N/A</v>
      </c>
      <c r="K44" s="147">
        <v>500</v>
      </c>
      <c r="L44" s="147">
        <v>250</v>
      </c>
      <c r="M44" s="44" t="str">
        <f t="shared" si="13"/>
        <v>500x250</v>
      </c>
      <c r="N44" s="147">
        <v>530</v>
      </c>
      <c r="O44" s="147">
        <v>17</v>
      </c>
      <c r="P44" s="147" t="s">
        <v>123</v>
      </c>
      <c r="Q44" s="147">
        <v>0.51</v>
      </c>
      <c r="R44" s="147">
        <v>2.2999999999999998</v>
      </c>
      <c r="S44" s="85" t="s">
        <v>459</v>
      </c>
      <c r="T44" s="85" t="b">
        <v>0</v>
      </c>
      <c r="U44" s="85" t="b">
        <v>0</v>
      </c>
      <c r="V44" s="80" t="s">
        <v>17</v>
      </c>
      <c r="W44" s="80" t="s">
        <v>3</v>
      </c>
      <c r="X44" s="139" t="s">
        <v>170</v>
      </c>
      <c r="Y44" s="80" t="s">
        <v>28</v>
      </c>
      <c r="Z44" s="48">
        <v>0</v>
      </c>
      <c r="AA44" s="49">
        <v>150</v>
      </c>
      <c r="AB44" s="49">
        <v>300</v>
      </c>
      <c r="AC44" s="49">
        <v>600</v>
      </c>
      <c r="AD44" s="49">
        <v>1000</v>
      </c>
      <c r="AE44" s="49">
        <v>1400</v>
      </c>
      <c r="AF44" s="50">
        <v>1760</v>
      </c>
      <c r="AG44" s="48">
        <v>308</v>
      </c>
      <c r="AH44" s="49">
        <v>301</v>
      </c>
      <c r="AI44" s="49">
        <v>302</v>
      </c>
      <c r="AJ44" s="49">
        <v>310</v>
      </c>
      <c r="AK44" s="49">
        <v>290</v>
      </c>
      <c r="AL44" s="49">
        <v>190</v>
      </c>
      <c r="AM44" s="50">
        <v>0</v>
      </c>
      <c r="AN44" s="51">
        <f>INDEX(LINEST($AG44:$AM44,$Z44:$AF44^Данные!$A$106:$A$110),1,6)</f>
        <v>308.0146074436999</v>
      </c>
      <c r="AO44" s="72">
        <f>INDEX(LINEST($AG44:$AM44,$Z44:$AF44^Данные!$A$106:$A$110),1,5)</f>
        <v>-8.678052243793774E-2</v>
      </c>
      <c r="AP44" s="72">
        <f>INDEX(LINEST($AG44:$AM44,$Z44:$AF44^Данные!$A$106:$A$110),1,4)</f>
        <v>3.0879519998816259E-4</v>
      </c>
      <c r="AQ44" s="72">
        <f>INDEX(LINEST($AG44:$AM44,$Z44:$AF44^Данные!$A$106:$A$110),1,3)</f>
        <v>-3.0855665292301486E-7</v>
      </c>
      <c r="AR44" s="72">
        <f>INDEX(LINEST($AG44:$AM44,$Z44:$AF44^Данные!$A$106:$A$110),1,2)</f>
        <v>8.0509595185162629E-11</v>
      </c>
      <c r="AS44" s="72">
        <f>INDEX(LINEST($AG44:$AM44,$Z44:$AF44^Данные!$A$106:$A$110),1,1)</f>
        <v>-1.1968795643754008E-14</v>
      </c>
      <c r="AT44" s="73">
        <v>0</v>
      </c>
      <c r="AU44" s="44" t="str">
        <f t="shared" si="10"/>
        <v>Евросоюз</v>
      </c>
      <c r="AV44" s="41"/>
    </row>
    <row r="45" spans="1:48">
      <c r="A45" s="534" t="s">
        <v>708</v>
      </c>
      <c r="B45" s="54" t="e">
        <f>MATCH(A45,Вентиляторы!B$6:B$1864,0)</f>
        <v>#N/A</v>
      </c>
      <c r="C45" s="55" t="e">
        <f ca="1">OFFSET(Вентиляторы!#REF!,B45-1,0)</f>
        <v>#REF!</v>
      </c>
      <c r="D45" s="55" t="e">
        <f t="shared" ca="1" si="11"/>
        <v>#REF!</v>
      </c>
      <c r="E45" s="502" t="e">
        <f ca="1">OFFSET(Вентиляторы!#REF!,B45-1,0)</f>
        <v>#REF!</v>
      </c>
      <c r="F45" s="503" t="s">
        <v>591</v>
      </c>
      <c r="G45" s="56" t="e">
        <f t="shared" si="12"/>
        <v>#REF!</v>
      </c>
      <c r="H45" s="56" t="e">
        <f ca="1">($G45/OFFSET(ПП_Свод!T$3,MATCH(M45,ПП_Свод!B$4:B$213,0),0)-1) &gt; -Задача_Допуск/100</f>
        <v>#REF!</v>
      </c>
      <c r="I45" s="56" t="str">
        <f t="shared" si="9"/>
        <v>500x250=ЛОЖЬ</v>
      </c>
      <c r="J45" s="57" t="e">
        <f t="shared" ca="1" si="3"/>
        <v>#N/A</v>
      </c>
      <c r="K45" s="148">
        <v>500</v>
      </c>
      <c r="L45" s="148">
        <v>250</v>
      </c>
      <c r="M45" s="54" t="str">
        <f t="shared" si="13"/>
        <v>500x250</v>
      </c>
      <c r="N45" s="148">
        <v>530</v>
      </c>
      <c r="O45" s="148">
        <v>17</v>
      </c>
      <c r="P45" s="148" t="s">
        <v>43</v>
      </c>
      <c r="Q45" s="148">
        <v>0.56000000000000005</v>
      </c>
      <c r="R45" s="148">
        <v>0.95</v>
      </c>
      <c r="S45" s="103" t="s">
        <v>459</v>
      </c>
      <c r="T45" s="103" t="b">
        <v>0</v>
      </c>
      <c r="U45" s="103" t="b">
        <v>0</v>
      </c>
      <c r="V45" s="100" t="s">
        <v>170</v>
      </c>
      <c r="W45" s="100" t="s">
        <v>10</v>
      </c>
      <c r="X45" s="140" t="s">
        <v>229</v>
      </c>
      <c r="Y45" s="100" t="s">
        <v>28</v>
      </c>
      <c r="Z45" s="58">
        <v>0</v>
      </c>
      <c r="AA45" s="59">
        <v>200</v>
      </c>
      <c r="AB45" s="59">
        <v>700</v>
      </c>
      <c r="AC45" s="59">
        <v>1000</v>
      </c>
      <c r="AD45" s="59">
        <v>1200</v>
      </c>
      <c r="AE45" s="59">
        <v>1555</v>
      </c>
      <c r="AF45" s="60">
        <v>1875</v>
      </c>
      <c r="AG45" s="58">
        <v>325</v>
      </c>
      <c r="AH45" s="59">
        <v>315</v>
      </c>
      <c r="AI45" s="59">
        <v>335</v>
      </c>
      <c r="AJ45" s="59">
        <v>315</v>
      </c>
      <c r="AK45" s="59">
        <v>260</v>
      </c>
      <c r="AL45" s="59">
        <v>155</v>
      </c>
      <c r="AM45" s="60">
        <v>0</v>
      </c>
      <c r="AN45" s="61">
        <f>INDEX(LINEST($AG45:$AM45,$Z45:$AF45^Данные!$A$106:$A$110),1,6)</f>
        <v>325.32219604185411</v>
      </c>
      <c r="AO45" s="74">
        <f>INDEX(LINEST($AG45:$AM45,$Z45:$AF45^Данные!$A$106:$A$110),1,5)</f>
        <v>-0.18331428593025154</v>
      </c>
      <c r="AP45" s="74">
        <f>INDEX(LINEST($AG45:$AM45,$Z45:$AF45^Данные!$A$106:$A$110),1,4)</f>
        <v>8.4258133762677085E-4</v>
      </c>
      <c r="AQ45" s="74">
        <f>INDEX(LINEST($AG45:$AM45,$Z45:$AF45^Данные!$A$106:$A$110),1,3)</f>
        <v>-1.1383960421683396E-6</v>
      </c>
      <c r="AR45" s="74">
        <f>INDEX(LINEST($AG45:$AM45,$Z45:$AF45^Данные!$A$106:$A$110),1,2)</f>
        <v>5.6838256492394478E-10</v>
      </c>
      <c r="AS45" s="74">
        <f>INDEX(LINEST($AG45:$AM45,$Z45:$AF45^Данные!$A$106:$A$110),1,1)</f>
        <v>-1.0634624137349609E-13</v>
      </c>
      <c r="AT45" s="75">
        <v>0</v>
      </c>
      <c r="AU45" s="54" t="str">
        <f t="shared" si="10"/>
        <v>Евросоюз</v>
      </c>
      <c r="AV45" s="41"/>
    </row>
    <row r="46" spans="1:48">
      <c r="A46" s="536" t="s">
        <v>709</v>
      </c>
      <c r="B46" s="63" t="e">
        <f>MATCH(A46,Вентиляторы!B$6:B$1864,0)</f>
        <v>#N/A</v>
      </c>
      <c r="C46" s="69" t="e">
        <f ca="1">OFFSET(Вентиляторы!#REF!,B46-1,0)</f>
        <v>#REF!</v>
      </c>
      <c r="D46" s="69" t="e">
        <f t="shared" ca="1" si="11"/>
        <v>#REF!</v>
      </c>
      <c r="E46" s="504" t="e">
        <f ca="1">OFFSET(Вентиляторы!#REF!,B46-1,0)</f>
        <v>#REF!</v>
      </c>
      <c r="F46" s="505" t="s">
        <v>591</v>
      </c>
      <c r="G46" s="70" t="e">
        <f t="shared" si="12"/>
        <v>#REF!</v>
      </c>
      <c r="H46" s="70" t="e">
        <f ca="1">($G46/OFFSET(ПП_Свод!T$3,MATCH(M46,ПП_Свод!B$4:B$213,0),0)-1) &gt; -Задача_Допуск/100</f>
        <v>#REF!</v>
      </c>
      <c r="I46" s="70" t="str">
        <f t="shared" si="9"/>
        <v>500x250=ЛОЖЬ</v>
      </c>
      <c r="J46" s="71" t="e">
        <f t="shared" ca="1" si="3"/>
        <v>#N/A</v>
      </c>
      <c r="K46" s="149">
        <v>500</v>
      </c>
      <c r="L46" s="149">
        <v>250</v>
      </c>
      <c r="M46" s="63" t="str">
        <f t="shared" si="13"/>
        <v>500x250</v>
      </c>
      <c r="N46" s="149">
        <v>530</v>
      </c>
      <c r="O46" s="149">
        <v>30</v>
      </c>
      <c r="P46" s="149" t="s">
        <v>43</v>
      </c>
      <c r="Q46" s="149">
        <v>0.56000000000000005</v>
      </c>
      <c r="R46" s="149">
        <v>0.95</v>
      </c>
      <c r="S46" s="95" t="s">
        <v>459</v>
      </c>
      <c r="T46" s="95" t="b">
        <v>1</v>
      </c>
      <c r="U46" s="95" t="b">
        <v>0</v>
      </c>
      <c r="V46" s="90" t="s">
        <v>170</v>
      </c>
      <c r="W46" s="90" t="s">
        <v>10</v>
      </c>
      <c r="X46" s="141" t="s">
        <v>229</v>
      </c>
      <c r="Y46" s="90" t="s">
        <v>28</v>
      </c>
      <c r="Z46" s="64">
        <v>0</v>
      </c>
      <c r="AA46" s="65">
        <v>290</v>
      </c>
      <c r="AB46" s="65">
        <v>500</v>
      </c>
      <c r="AC46" s="65">
        <v>810</v>
      </c>
      <c r="AD46" s="65">
        <v>1000</v>
      </c>
      <c r="AE46" s="65">
        <v>1300</v>
      </c>
      <c r="AF46" s="66">
        <v>1800</v>
      </c>
      <c r="AG46" s="64">
        <v>320</v>
      </c>
      <c r="AH46" s="65">
        <v>315</v>
      </c>
      <c r="AI46" s="65">
        <v>323</v>
      </c>
      <c r="AJ46" s="65">
        <v>330</v>
      </c>
      <c r="AK46" s="65">
        <v>310</v>
      </c>
      <c r="AL46" s="65">
        <v>220</v>
      </c>
      <c r="AM46" s="66">
        <v>0</v>
      </c>
      <c r="AN46" s="67">
        <f>INDEX(LINEST($AG46:$AM46,$Z46:$AF46^Данные!$A$106:$A$110),1,6)</f>
        <v>320.01409636945687</v>
      </c>
      <c r="AO46" s="137">
        <f>INDEX(LINEST($AG46:$AM46,$Z46:$AF46^Данные!$A$106:$A$110),1,5)</f>
        <v>-4.6771089631990115E-2</v>
      </c>
      <c r="AP46" s="137">
        <f>INDEX(LINEST($AG46:$AM46,$Z46:$AF46^Данные!$A$106:$A$110),1,4)</f>
        <v>3.4834181194904532E-5</v>
      </c>
      <c r="AQ46" s="137">
        <f>INDEX(LINEST($AG46:$AM46,$Z46:$AF46^Данные!$A$106:$A$110),1,3)</f>
        <v>3.6276273568930294E-7</v>
      </c>
      <c r="AR46" s="137">
        <f>INDEX(LINEST($AG46:$AM46,$Z46:$AF46^Данные!$A$106:$A$110),1,2)</f>
        <v>-5.1791304497191974E-10</v>
      </c>
      <c r="AS46" s="137">
        <f>INDEX(LINEST($AG46:$AM46,$Z46:$AF46^Данные!$A$106:$A$110),1,1)</f>
        <v>1.5731244353376074E-13</v>
      </c>
      <c r="AT46" s="138">
        <v>0</v>
      </c>
      <c r="AU46" s="63" t="str">
        <f t="shared" si="10"/>
        <v>Евросоюз</v>
      </c>
      <c r="AV46" s="41"/>
    </row>
    <row r="47" spans="1:48">
      <c r="A47" s="535" t="s">
        <v>710</v>
      </c>
      <c r="B47" s="44" t="e">
        <f>MATCH(A47,Вентиляторы!B$6:B$1864,0)</f>
        <v>#N/A</v>
      </c>
      <c r="C47" s="45" t="e">
        <f ca="1">OFFSET(Вентиляторы!#REF!,B47-1,0)</f>
        <v>#REF!</v>
      </c>
      <c r="D47" s="45" t="e">
        <f ca="1">MID(C47,SEARCH("LV-",C47,1),IFERROR(SEARCH("(",C47,1),LEN(C47)+2)-SEARCH("LV-",C47,1)-1)</f>
        <v>#REF!</v>
      </c>
      <c r="E47" s="486" t="e">
        <f ca="1">OFFSET(Вентиляторы!#REF!,B47-1,0)</f>
        <v>#REF!</v>
      </c>
      <c r="F47" s="501" t="s">
        <v>591</v>
      </c>
      <c r="G47" s="46" t="e">
        <f>AN47+Задача_Расход*(AO47+Задача_Расход*(AP47+Задача_Расход*(AQ47+Задача_Расход*(AR47+Задача_Расход*(AS47+Задача_Расход*AT47)))))</f>
        <v>#REF!</v>
      </c>
      <c r="H47" s="46" t="e">
        <f ca="1">($G47/OFFSET(ПП_Свод!T$3,MATCH(M47,ПП_Свод!B$4:B$213,0),0)-1) &gt; -Задача_Допуск/100</f>
        <v>#REF!</v>
      </c>
      <c r="I47" s="46" t="str">
        <f t="shared" si="9"/>
        <v>500x300=ЛОЖЬ</v>
      </c>
      <c r="J47" s="47" t="e">
        <f t="shared" ca="1" si="3"/>
        <v>#N/A</v>
      </c>
      <c r="K47" s="147">
        <v>500</v>
      </c>
      <c r="L47" s="147">
        <v>300</v>
      </c>
      <c r="M47" s="44" t="str">
        <f>IF(L47&gt;0,IF(K47&gt;0,CONCATENATE(K47,"x",L47),L47),CONCATENATE("Ø",K47))</f>
        <v>500x300</v>
      </c>
      <c r="N47" s="147">
        <v>500</v>
      </c>
      <c r="O47" s="147">
        <v>35</v>
      </c>
      <c r="P47" s="147" t="s">
        <v>43</v>
      </c>
      <c r="Q47" s="147">
        <v>0.37</v>
      </c>
      <c r="R47" s="147">
        <v>0.9</v>
      </c>
      <c r="S47" s="85" t="s">
        <v>459</v>
      </c>
      <c r="T47" s="85" t="b">
        <v>0</v>
      </c>
      <c r="U47" s="85" t="b">
        <v>0</v>
      </c>
      <c r="V47" s="80" t="s">
        <v>170</v>
      </c>
      <c r="W47" s="80" t="s">
        <v>170</v>
      </c>
      <c r="X47" s="139" t="s">
        <v>227</v>
      </c>
      <c r="Y47" s="80" t="s">
        <v>29</v>
      </c>
      <c r="Z47" s="48">
        <v>0</v>
      </c>
      <c r="AA47" s="49">
        <v>400</v>
      </c>
      <c r="AB47" s="49">
        <v>800</v>
      </c>
      <c r="AC47" s="49">
        <v>1200</v>
      </c>
      <c r="AD47" s="49">
        <v>1600</v>
      </c>
      <c r="AE47" s="49">
        <v>2000</v>
      </c>
      <c r="AF47" s="50">
        <v>2260</v>
      </c>
      <c r="AG47" s="48">
        <v>710</v>
      </c>
      <c r="AH47" s="49">
        <v>670</v>
      </c>
      <c r="AI47" s="49">
        <v>645</v>
      </c>
      <c r="AJ47" s="49">
        <v>570</v>
      </c>
      <c r="AK47" s="49">
        <v>450</v>
      </c>
      <c r="AL47" s="49">
        <v>215</v>
      </c>
      <c r="AM47" s="50">
        <v>0</v>
      </c>
      <c r="AN47" s="51">
        <f>INDEX(LINEST($AG47:$AM47,$Z47:$AF47^Данные!$A$106:$A$110),1,6)</f>
        <v>709.72295229483632</v>
      </c>
      <c r="AO47" s="72">
        <f>INDEX(LINEST($AG47:$AM47,$Z47:$AF47^Данные!$A$106:$A$110),1,5)</f>
        <v>-0.14768803328235944</v>
      </c>
      <c r="AP47" s="72">
        <f>INDEX(LINEST($AG47:$AM47,$Z47:$AF47^Данные!$A$106:$A$110),1,4)</f>
        <v>1.9679179978554287E-4</v>
      </c>
      <c r="AQ47" s="72">
        <f>INDEX(LINEST($AG47:$AM47,$Z47:$AF47^Данные!$A$106:$A$110),1,3)</f>
        <v>-1.7873016122340064E-7</v>
      </c>
      <c r="AR47" s="72">
        <f>INDEX(LINEST($AG47:$AM47,$Z47:$AF47^Данные!$A$106:$A$110),1,2)</f>
        <v>4.1250357927509051E-11</v>
      </c>
      <c r="AS47" s="72">
        <f>INDEX(LINEST($AG47:$AM47,$Z47:$AF47^Данные!$A$106:$A$110),1,1)</f>
        <v>-6.6959480633281251E-15</v>
      </c>
      <c r="AT47" s="73">
        <v>0</v>
      </c>
      <c r="AU47" s="44" t="str">
        <f>Производитель_Россия</f>
        <v>Россия</v>
      </c>
      <c r="AV47" s="41"/>
    </row>
    <row r="48" spans="1:48">
      <c r="A48" s="534" t="s">
        <v>711</v>
      </c>
      <c r="B48" s="54" t="e">
        <f>MATCH(A48,Вентиляторы!B$6:B$1864,0)</f>
        <v>#N/A</v>
      </c>
      <c r="C48" s="55" t="e">
        <f ca="1">OFFSET(Вентиляторы!#REF!,B48-1,0)</f>
        <v>#REF!</v>
      </c>
      <c r="D48" s="55" t="e">
        <f t="shared" ca="1" si="11"/>
        <v>#REF!</v>
      </c>
      <c r="E48" s="502" t="e">
        <f ca="1">OFFSET(Вентиляторы!#REF!,B48-1,0)</f>
        <v>#REF!</v>
      </c>
      <c r="F48" s="503" t="s">
        <v>591</v>
      </c>
      <c r="G48" s="56" t="e">
        <f t="shared" si="12"/>
        <v>#REF!</v>
      </c>
      <c r="H48" s="56" t="e">
        <f ca="1">($G48/OFFSET(ПП_Свод!T$3,MATCH(M48,ПП_Свод!B$4:B$213,0),0)-1) &gt; -Задача_Допуск/100</f>
        <v>#REF!</v>
      </c>
      <c r="I48" s="56" t="str">
        <f t="shared" si="9"/>
        <v>500x300=ЛОЖЬ</v>
      </c>
      <c r="J48" s="57" t="e">
        <f t="shared" ca="1" si="3"/>
        <v>#N/A</v>
      </c>
      <c r="K48" s="148">
        <v>500</v>
      </c>
      <c r="L48" s="148">
        <v>300</v>
      </c>
      <c r="M48" s="54" t="str">
        <f t="shared" si="13"/>
        <v>500x300</v>
      </c>
      <c r="N48" s="148">
        <v>560</v>
      </c>
      <c r="O48" s="148">
        <v>19</v>
      </c>
      <c r="P48" s="148" t="s">
        <v>123</v>
      </c>
      <c r="Q48" s="148">
        <v>0.28999999999999998</v>
      </c>
      <c r="R48" s="148">
        <v>1.47</v>
      </c>
      <c r="S48" s="103" t="s">
        <v>459</v>
      </c>
      <c r="T48" s="103" t="b">
        <v>0</v>
      </c>
      <c r="U48" s="103" t="b">
        <v>0</v>
      </c>
      <c r="V48" s="100" t="s">
        <v>17</v>
      </c>
      <c r="W48" s="100" t="s">
        <v>2</v>
      </c>
      <c r="X48" s="140" t="s">
        <v>170</v>
      </c>
      <c r="Y48" s="100" t="s">
        <v>29</v>
      </c>
      <c r="Z48" s="58">
        <v>0</v>
      </c>
      <c r="AA48" s="59">
        <v>250</v>
      </c>
      <c r="AB48" s="59">
        <v>600</v>
      </c>
      <c r="AC48" s="59">
        <v>800</v>
      </c>
      <c r="AD48" s="59">
        <v>1000</v>
      </c>
      <c r="AE48" s="59">
        <v>1200</v>
      </c>
      <c r="AF48" s="60">
        <v>1550</v>
      </c>
      <c r="AG48" s="58">
        <v>162</v>
      </c>
      <c r="AH48" s="59">
        <v>160</v>
      </c>
      <c r="AI48" s="59">
        <v>170</v>
      </c>
      <c r="AJ48" s="59">
        <v>180</v>
      </c>
      <c r="AK48" s="59">
        <v>175</v>
      </c>
      <c r="AL48" s="59">
        <v>150</v>
      </c>
      <c r="AM48" s="60">
        <v>65</v>
      </c>
      <c r="AN48" s="61">
        <f>INDEX(LINEST($AG48:$AM48,$Z48:$AF48^Данные!$A$106:$A$110),1,6)</f>
        <v>162.01740176804526</v>
      </c>
      <c r="AO48" s="74">
        <f>INDEX(LINEST($AG48:$AM48,$Z48:$AF48^Данные!$A$106:$A$110),1,5)</f>
        <v>1.6250164804676909E-2</v>
      </c>
      <c r="AP48" s="74">
        <f>INDEX(LINEST($AG48:$AM48,$Z48:$AF48^Данные!$A$106:$A$110),1,4)</f>
        <v>-2.5043320074013609E-4</v>
      </c>
      <c r="AQ48" s="74">
        <f>INDEX(LINEST($AG48:$AM48,$Z48:$AF48^Данные!$A$106:$A$110),1,3)</f>
        <v>7.7731890595693063E-7</v>
      </c>
      <c r="AR48" s="74">
        <f>INDEX(LINEST($AG48:$AM48,$Z48:$AF48^Данные!$A$106:$A$110),1,2)</f>
        <v>-7.3163329471402348E-10</v>
      </c>
      <c r="AS48" s="74">
        <f>INDEX(LINEST($AG48:$AM48,$Z48:$AF48^Данные!$A$106:$A$110),1,1)</f>
        <v>2.0206851908019947E-13</v>
      </c>
      <c r="AT48" s="75">
        <v>0</v>
      </c>
      <c r="AU48" s="54" t="str">
        <f>Производитель_Европа</f>
        <v>Евросоюз</v>
      </c>
      <c r="AV48" s="41"/>
    </row>
    <row r="49" spans="1:48">
      <c r="A49" s="534" t="s">
        <v>712</v>
      </c>
      <c r="B49" s="54" t="e">
        <f>MATCH(A49,Вентиляторы!B$6:B$1864,0)</f>
        <v>#N/A</v>
      </c>
      <c r="C49" s="55" t="e">
        <f ca="1">OFFSET(Вентиляторы!#REF!,B49-1,0)</f>
        <v>#REF!</v>
      </c>
      <c r="D49" s="55" t="e">
        <f t="shared" ca="1" si="11"/>
        <v>#REF!</v>
      </c>
      <c r="E49" s="502" t="e">
        <f ca="1">OFFSET(Вентиляторы!#REF!,B49-1,0)</f>
        <v>#REF!</v>
      </c>
      <c r="F49" s="503" t="s">
        <v>591</v>
      </c>
      <c r="G49" s="56" t="e">
        <f t="shared" si="12"/>
        <v>#REF!</v>
      </c>
      <c r="H49" s="56" t="e">
        <f ca="1">($G49/OFFSET(ПП_Свод!T$3,MATCH(M49,ПП_Свод!B$4:B$213,0),0)-1) &gt; -Задача_Допуск/100</f>
        <v>#REF!</v>
      </c>
      <c r="I49" s="56" t="str">
        <f t="shared" si="9"/>
        <v>500x300=ЛОЖЬ</v>
      </c>
      <c r="J49" s="57" t="e">
        <f t="shared" ca="1" si="3"/>
        <v>#N/A</v>
      </c>
      <c r="K49" s="148">
        <v>500</v>
      </c>
      <c r="L49" s="148">
        <v>300</v>
      </c>
      <c r="M49" s="54" t="str">
        <f t="shared" si="13"/>
        <v>500x300</v>
      </c>
      <c r="N49" s="148">
        <v>560</v>
      </c>
      <c r="O49" s="148">
        <v>20</v>
      </c>
      <c r="P49" s="148" t="s">
        <v>123</v>
      </c>
      <c r="Q49" s="148">
        <v>0.69</v>
      </c>
      <c r="R49" s="148">
        <v>3</v>
      </c>
      <c r="S49" s="103" t="s">
        <v>459</v>
      </c>
      <c r="T49" s="103" t="b">
        <v>0</v>
      </c>
      <c r="U49" s="103" t="b">
        <v>0</v>
      </c>
      <c r="V49" s="100" t="s">
        <v>0</v>
      </c>
      <c r="W49" s="100" t="s">
        <v>4</v>
      </c>
      <c r="X49" s="140" t="s">
        <v>170</v>
      </c>
      <c r="Y49" s="100" t="s">
        <v>29</v>
      </c>
      <c r="Z49" s="58">
        <v>0</v>
      </c>
      <c r="AA49" s="59">
        <v>200</v>
      </c>
      <c r="AB49" s="59">
        <v>500</v>
      </c>
      <c r="AC49" s="59">
        <v>900</v>
      </c>
      <c r="AD49" s="59">
        <v>1300</v>
      </c>
      <c r="AE49" s="59">
        <v>1500</v>
      </c>
      <c r="AF49" s="60">
        <v>1700</v>
      </c>
      <c r="AG49" s="58">
        <v>370</v>
      </c>
      <c r="AH49" s="59">
        <v>380</v>
      </c>
      <c r="AI49" s="59">
        <v>390</v>
      </c>
      <c r="AJ49" s="59">
        <v>385</v>
      </c>
      <c r="AK49" s="59">
        <v>355</v>
      </c>
      <c r="AL49" s="59">
        <v>300</v>
      </c>
      <c r="AM49" s="60">
        <v>0</v>
      </c>
      <c r="AN49" s="61">
        <f>INDEX(LINEST($AG49:$AM49,$Z49:$AF49^Данные!$A$106:$A$110),1,6)</f>
        <v>371.40539992253161</v>
      </c>
      <c r="AO49" s="74">
        <f>INDEX(LINEST($AG49:$AM49,$Z49:$AF49^Данные!$A$106:$A$110),1,5)</f>
        <v>-0.14862240770997664</v>
      </c>
      <c r="AP49" s="74">
        <f>INDEX(LINEST($AG49:$AM49,$Z49:$AF49^Данные!$A$106:$A$110),1,4)</f>
        <v>1.3248269992836852E-3</v>
      </c>
      <c r="AQ49" s="74">
        <f>INDEX(LINEST($AG49:$AM49,$Z49:$AF49^Данные!$A$106:$A$110),1,3)</f>
        <v>-2.862731811238544E-6</v>
      </c>
      <c r="AR49" s="74">
        <f>INDEX(LINEST($AG49:$AM49,$Z49:$AF49^Данные!$A$106:$A$110),1,2)</f>
        <v>2.369762705158115E-9</v>
      </c>
      <c r="AS49" s="74">
        <f>INDEX(LINEST($AG49:$AM49,$Z49:$AF49^Данные!$A$106:$A$110),1,1)</f>
        <v>-6.8128339663339808E-13</v>
      </c>
      <c r="AT49" s="75">
        <v>0</v>
      </c>
      <c r="AU49" s="54" t="str">
        <f>Производитель_Европа</f>
        <v>Евросоюз</v>
      </c>
      <c r="AV49" s="41"/>
    </row>
    <row r="50" spans="1:48">
      <c r="A50" s="534" t="s">
        <v>713</v>
      </c>
      <c r="B50" s="54" t="e">
        <f>MATCH(A50,Вентиляторы!B$6:B$1864,0)</f>
        <v>#N/A</v>
      </c>
      <c r="C50" s="55" t="e">
        <f ca="1">OFFSET(Вентиляторы!#REF!,B50-1,0)</f>
        <v>#REF!</v>
      </c>
      <c r="D50" s="55" t="e">
        <f t="shared" ca="1" si="11"/>
        <v>#REF!</v>
      </c>
      <c r="E50" s="502" t="e">
        <f ca="1">OFFSET(Вентиляторы!#REF!,B50-1,0)</f>
        <v>#REF!</v>
      </c>
      <c r="F50" s="503" t="s">
        <v>591</v>
      </c>
      <c r="G50" s="56" t="e">
        <f t="shared" si="12"/>
        <v>#REF!</v>
      </c>
      <c r="H50" s="56" t="e">
        <f ca="1">($G50/OFFSET(ПП_Свод!T$3,MATCH(M50,ПП_Свод!B$4:B$213,0),0)-1) &gt; -Задача_Допуск/100</f>
        <v>#REF!</v>
      </c>
      <c r="I50" s="56" t="str">
        <f t="shared" si="9"/>
        <v>500x300=ЛОЖЬ</v>
      </c>
      <c r="J50" s="57" t="e">
        <f t="shared" ca="1" si="3"/>
        <v>#N/A</v>
      </c>
      <c r="K50" s="148">
        <v>500</v>
      </c>
      <c r="L50" s="148">
        <v>300</v>
      </c>
      <c r="M50" s="54" t="str">
        <f t="shared" si="13"/>
        <v>500x300</v>
      </c>
      <c r="N50" s="148">
        <v>560</v>
      </c>
      <c r="O50" s="148">
        <v>22</v>
      </c>
      <c r="P50" s="148" t="s">
        <v>43</v>
      </c>
      <c r="Q50" s="148">
        <v>0.93</v>
      </c>
      <c r="R50" s="148">
        <v>1.9</v>
      </c>
      <c r="S50" s="103" t="s">
        <v>459</v>
      </c>
      <c r="T50" s="103" t="b">
        <v>0</v>
      </c>
      <c r="U50" s="103" t="b">
        <v>0</v>
      </c>
      <c r="V50" s="100" t="s">
        <v>170</v>
      </c>
      <c r="W50" s="100" t="s">
        <v>11</v>
      </c>
      <c r="X50" s="140" t="s">
        <v>230</v>
      </c>
      <c r="Y50" s="100" t="s">
        <v>29</v>
      </c>
      <c r="Z50" s="58">
        <v>0</v>
      </c>
      <c r="AA50" s="59">
        <v>600</v>
      </c>
      <c r="AB50" s="59">
        <v>1000</v>
      </c>
      <c r="AC50" s="59">
        <v>1200</v>
      </c>
      <c r="AD50" s="59">
        <v>1500</v>
      </c>
      <c r="AE50" s="59">
        <v>2000</v>
      </c>
      <c r="AF50" s="60">
        <v>2725</v>
      </c>
      <c r="AG50" s="58">
        <v>380</v>
      </c>
      <c r="AH50" s="59">
        <v>395</v>
      </c>
      <c r="AI50" s="59">
        <v>405</v>
      </c>
      <c r="AJ50" s="59">
        <v>400</v>
      </c>
      <c r="AK50" s="59">
        <v>370</v>
      </c>
      <c r="AL50" s="59">
        <v>250</v>
      </c>
      <c r="AM50" s="60">
        <v>0</v>
      </c>
      <c r="AN50" s="61">
        <f>INDEX(LINEST($AG50:$AM50,$Z50:$AF50^Данные!$A$106:$A$110),1,6)</f>
        <v>380.00123540826502</v>
      </c>
      <c r="AO50" s="74">
        <f>INDEX(LINEST($AG50:$AM50,$Z50:$AF50^Данные!$A$106:$A$110),1,5)</f>
        <v>-7.9484275752007214E-3</v>
      </c>
      <c r="AP50" s="74">
        <f>INDEX(LINEST($AG50:$AM50,$Z50:$AF50^Данные!$A$106:$A$110),1,4)</f>
        <v>7.043655561775386E-5</v>
      </c>
      <c r="AQ50" s="74">
        <f>INDEX(LINEST($AG50:$AM50,$Z50:$AF50^Данные!$A$106:$A$110),1,3)</f>
        <v>-1.7829828620148808E-9</v>
      </c>
      <c r="AR50" s="74">
        <f>INDEX(LINEST($AG50:$AM50,$Z50:$AF50^Данные!$A$106:$A$110),1,2)</f>
        <v>-4.7352258846064242E-11</v>
      </c>
      <c r="AS50" s="74">
        <f>INDEX(LINEST($AG50:$AM50,$Z50:$AF50^Данные!$A$106:$A$110),1,1)</f>
        <v>1.175126395361826E-14</v>
      </c>
      <c r="AT50" s="75">
        <v>0</v>
      </c>
      <c r="AU50" s="54" t="str">
        <f>Производитель_Европа</f>
        <v>Евросоюз</v>
      </c>
      <c r="AV50" s="41"/>
    </row>
    <row r="51" spans="1:48">
      <c r="A51" s="534" t="s">
        <v>714</v>
      </c>
      <c r="B51" s="54" t="e">
        <f>MATCH(A51,Вентиляторы!B$6:B$1864,0)</f>
        <v>#N/A</v>
      </c>
      <c r="C51" s="55" t="e">
        <f ca="1">OFFSET(Вентиляторы!#REF!,B51-1,0)</f>
        <v>#REF!</v>
      </c>
      <c r="D51" s="55" t="e">
        <f t="shared" ca="1" si="11"/>
        <v>#REF!</v>
      </c>
      <c r="E51" s="502" t="e">
        <f ca="1">OFFSET(Вентиляторы!#REF!,B51-1,0)</f>
        <v>#REF!</v>
      </c>
      <c r="F51" s="503" t="s">
        <v>591</v>
      </c>
      <c r="G51" s="56" t="e">
        <f t="shared" si="12"/>
        <v>#REF!</v>
      </c>
      <c r="H51" s="56" t="e">
        <f ca="1">($G51/OFFSET(ПП_Свод!T$3,MATCH(M51,ПП_Свод!B$4:B$213,0),0)-1) &gt; -Задача_Допуск/100</f>
        <v>#REF!</v>
      </c>
      <c r="I51" s="56" t="str">
        <f t="shared" si="9"/>
        <v>500x300=ЛОЖЬ</v>
      </c>
      <c r="J51" s="57" t="e">
        <f t="shared" ca="1" si="3"/>
        <v>#N/A</v>
      </c>
      <c r="K51" s="148">
        <v>500</v>
      </c>
      <c r="L51" s="148">
        <v>300</v>
      </c>
      <c r="M51" s="54" t="str">
        <f t="shared" si="13"/>
        <v>500x300</v>
      </c>
      <c r="N51" s="148">
        <v>560</v>
      </c>
      <c r="O51" s="148">
        <v>28</v>
      </c>
      <c r="P51" s="148" t="s">
        <v>123</v>
      </c>
      <c r="Q51" s="148">
        <v>0.63</v>
      </c>
      <c r="R51" s="148">
        <v>3</v>
      </c>
      <c r="S51" s="103" t="s">
        <v>459</v>
      </c>
      <c r="T51" s="103" t="b">
        <v>1</v>
      </c>
      <c r="U51" s="103" t="b">
        <v>0</v>
      </c>
      <c r="V51" s="100" t="s">
        <v>0</v>
      </c>
      <c r="W51" s="100" t="s">
        <v>4</v>
      </c>
      <c r="X51" s="140" t="s">
        <v>170</v>
      </c>
      <c r="Y51" s="100" t="s">
        <v>29</v>
      </c>
      <c r="Z51" s="58">
        <v>0</v>
      </c>
      <c r="AA51" s="59">
        <v>300</v>
      </c>
      <c r="AB51" s="59">
        <v>600</v>
      </c>
      <c r="AC51" s="59">
        <v>900</v>
      </c>
      <c r="AD51" s="59">
        <v>1200</v>
      </c>
      <c r="AE51" s="59">
        <v>1500</v>
      </c>
      <c r="AF51" s="60">
        <v>1680</v>
      </c>
      <c r="AG51" s="58">
        <v>370</v>
      </c>
      <c r="AH51" s="59">
        <v>388</v>
      </c>
      <c r="AI51" s="59">
        <v>392</v>
      </c>
      <c r="AJ51" s="59">
        <v>387</v>
      </c>
      <c r="AK51" s="59">
        <v>368</v>
      </c>
      <c r="AL51" s="59">
        <v>300</v>
      </c>
      <c r="AM51" s="60">
        <v>220</v>
      </c>
      <c r="AN51" s="61">
        <f>INDEX(LINEST($AG51:$AM51,$Z51:$AF51^Данные!$A$106:$A$110),1,6)</f>
        <v>369.95692048757451</v>
      </c>
      <c r="AO51" s="74">
        <f>INDEX(LINEST($AG51:$AM51,$Z51:$AF51^Данные!$A$106:$A$110),1,5)</f>
        <v>0.11347481129628874</v>
      </c>
      <c r="AP51" s="74">
        <f>INDEX(LINEST($AG51:$AM51,$Z51:$AF51^Данные!$A$106:$A$110),1,4)</f>
        <v>-2.4003849278315815E-4</v>
      </c>
      <c r="AQ51" s="74">
        <f>INDEX(LINEST($AG51:$AM51,$Z51:$AF51^Данные!$A$106:$A$110),1,3)</f>
        <v>2.5166669621345326E-7</v>
      </c>
      <c r="AR51" s="74">
        <f>INDEX(LINEST($AG51:$AM51,$Z51:$AF51^Данные!$A$106:$A$110),1,2)</f>
        <v>-1.1620052896402356E-10</v>
      </c>
      <c r="AS51" s="74">
        <f>INDEX(LINEST($AG51:$AM51,$Z51:$AF51^Данные!$A$106:$A$110),1,1)</f>
        <v>5.1634073994228904E-15</v>
      </c>
      <c r="AT51" s="75">
        <v>0</v>
      </c>
      <c r="AU51" s="54" t="str">
        <f>Производитель_Европа</f>
        <v>Евросоюз</v>
      </c>
      <c r="AV51" s="41"/>
    </row>
    <row r="52" spans="1:48">
      <c r="A52" s="534" t="s">
        <v>715</v>
      </c>
      <c r="B52" s="54" t="e">
        <f>MATCH(A52,Вентиляторы!B$6:B$1864,0)</f>
        <v>#N/A</v>
      </c>
      <c r="C52" s="55" t="e">
        <f ca="1">OFFSET(Вентиляторы!#REF!,B52-1,0)</f>
        <v>#REF!</v>
      </c>
      <c r="D52" s="55" t="e">
        <f t="shared" ca="1" si="11"/>
        <v>#REF!</v>
      </c>
      <c r="E52" s="502" t="e">
        <f ca="1">OFFSET(Вентиляторы!#REF!,B52-1,0)</f>
        <v>#REF!</v>
      </c>
      <c r="F52" s="503" t="s">
        <v>591</v>
      </c>
      <c r="G52" s="56" t="e">
        <f t="shared" si="12"/>
        <v>#REF!</v>
      </c>
      <c r="H52" s="56" t="e">
        <f ca="1">($G52/OFFSET(ПП_Свод!T$3,MATCH(M52,ПП_Свод!B$4:B$213,0),0)-1) &gt; -Задача_Допуск/100</f>
        <v>#REF!</v>
      </c>
      <c r="I52" s="56" t="str">
        <f t="shared" si="9"/>
        <v>500x300=ЛОЖЬ</v>
      </c>
      <c r="J52" s="57" t="e">
        <f t="shared" ca="1" si="3"/>
        <v>#N/A</v>
      </c>
      <c r="K52" s="148">
        <v>500</v>
      </c>
      <c r="L52" s="148">
        <v>300</v>
      </c>
      <c r="M52" s="54" t="str">
        <f t="shared" si="13"/>
        <v>500x300</v>
      </c>
      <c r="N52" s="148">
        <v>560</v>
      </c>
      <c r="O52" s="148">
        <v>37</v>
      </c>
      <c r="P52" s="148" t="s">
        <v>43</v>
      </c>
      <c r="Q52" s="148">
        <v>1.0069999999999999</v>
      </c>
      <c r="R52" s="148">
        <v>2.0099999999999998</v>
      </c>
      <c r="S52" s="103" t="s">
        <v>459</v>
      </c>
      <c r="T52" s="103" t="b">
        <v>1</v>
      </c>
      <c r="U52" s="103" t="b">
        <v>0</v>
      </c>
      <c r="V52" s="100" t="s">
        <v>170</v>
      </c>
      <c r="W52" s="100" t="s">
        <v>11</v>
      </c>
      <c r="X52" s="140" t="s">
        <v>230</v>
      </c>
      <c r="Y52" s="100" t="s">
        <v>29</v>
      </c>
      <c r="Z52" s="58">
        <v>0</v>
      </c>
      <c r="AA52" s="59">
        <v>300</v>
      </c>
      <c r="AB52" s="59">
        <v>1050</v>
      </c>
      <c r="AC52" s="59">
        <v>1500</v>
      </c>
      <c r="AD52" s="59">
        <v>1825</v>
      </c>
      <c r="AE52" s="59">
        <v>2160</v>
      </c>
      <c r="AF52" s="60">
        <v>2630</v>
      </c>
      <c r="AG52" s="58">
        <v>380</v>
      </c>
      <c r="AH52" s="59">
        <v>385</v>
      </c>
      <c r="AI52" s="59">
        <v>405</v>
      </c>
      <c r="AJ52" s="59">
        <v>370</v>
      </c>
      <c r="AK52" s="59">
        <v>300</v>
      </c>
      <c r="AL52" s="59">
        <v>200</v>
      </c>
      <c r="AM52" s="60">
        <v>0</v>
      </c>
      <c r="AN52" s="61">
        <f>INDEX(LINEST($AG52:$AM52,$Z52:$AF52^Данные!$A$106:$A$110),1,6)</f>
        <v>380.08556747563017</v>
      </c>
      <c r="AO52" s="74">
        <f>INDEX(LINEST($AG52:$AM52,$Z52:$AF52^Данные!$A$106:$A$110),1,5)</f>
        <v>-1.9308258398391207E-2</v>
      </c>
      <c r="AP52" s="74">
        <f>INDEX(LINEST($AG52:$AM52,$Z52:$AF52^Данные!$A$106:$A$110),1,4)</f>
        <v>1.526292971981644E-4</v>
      </c>
      <c r="AQ52" s="74">
        <f>INDEX(LINEST($AG52:$AM52,$Z52:$AF52^Данные!$A$106:$A$110),1,3)</f>
        <v>-1.2729252551285338E-7</v>
      </c>
      <c r="AR52" s="74">
        <f>INDEX(LINEST($AG52:$AM52,$Z52:$AF52^Данные!$A$106:$A$110),1,2)</f>
        <v>2.1501953712121624E-11</v>
      </c>
      <c r="AS52" s="74">
        <f>INDEX(LINEST($AG52:$AM52,$Z52:$AF52^Данные!$A$106:$A$110),1,1)</f>
        <v>-7.7898764536619356E-16</v>
      </c>
      <c r="AT52" s="75">
        <v>0</v>
      </c>
      <c r="AU52" s="54" t="str">
        <f>Производитель_Европа</f>
        <v>Евросоюз</v>
      </c>
      <c r="AV52" s="41"/>
    </row>
    <row r="53" spans="1:48">
      <c r="A53" s="536" t="s">
        <v>716</v>
      </c>
      <c r="B53" s="63">
        <f>MATCH(A53,Вентиляторы!B$6:B$1864,0)</f>
        <v>35</v>
      </c>
      <c r="C53" s="69" t="e">
        <f ca="1">OFFSET(Вентиляторы!#REF!,B53-1,0)</f>
        <v>#REF!</v>
      </c>
      <c r="D53" s="69" t="e">
        <f t="shared" ca="1" si="11"/>
        <v>#REF!</v>
      </c>
      <c r="E53" s="504" t="e">
        <f ca="1">OFFSET(Вентиляторы!#REF!,B53-1,0)</f>
        <v>#REF!</v>
      </c>
      <c r="F53" s="505" t="s">
        <v>591</v>
      </c>
      <c r="G53" s="70" t="e">
        <f t="shared" si="12"/>
        <v>#REF!</v>
      </c>
      <c r="H53" s="70" t="e">
        <f ca="1">($G53/OFFSET(ПП_Свод!T$3,MATCH(M53,ПП_Свод!B$4:B$213,0),0)-1) &gt; -Задача_Допуск/100</f>
        <v>#REF!</v>
      </c>
      <c r="I53" s="70" t="str">
        <f t="shared" si="9"/>
        <v>500x300=ЛОЖЬ</v>
      </c>
      <c r="J53" s="71" t="e">
        <f t="shared" ca="1" si="3"/>
        <v>#N/A</v>
      </c>
      <c r="K53" s="149">
        <v>500</v>
      </c>
      <c r="L53" s="149">
        <v>300</v>
      </c>
      <c r="M53" s="63" t="str">
        <f t="shared" si="13"/>
        <v>500x300</v>
      </c>
      <c r="N53" s="149">
        <v>600</v>
      </c>
      <c r="O53" s="149">
        <v>59</v>
      </c>
      <c r="P53" s="149" t="s">
        <v>43</v>
      </c>
      <c r="Q53" s="149">
        <v>0.37</v>
      </c>
      <c r="R53" s="149">
        <v>0.9</v>
      </c>
      <c r="S53" s="95" t="s">
        <v>459</v>
      </c>
      <c r="T53" s="95" t="b">
        <v>1</v>
      </c>
      <c r="U53" s="95" t="b">
        <v>0</v>
      </c>
      <c r="V53" s="90" t="s">
        <v>170</v>
      </c>
      <c r="W53" s="90" t="s">
        <v>170</v>
      </c>
      <c r="X53" s="141" t="s">
        <v>227</v>
      </c>
      <c r="Y53" s="90" t="s">
        <v>29</v>
      </c>
      <c r="Z53" s="64">
        <v>0</v>
      </c>
      <c r="AA53" s="65">
        <v>200</v>
      </c>
      <c r="AB53" s="65">
        <v>500</v>
      </c>
      <c r="AC53" s="65">
        <v>1000</v>
      </c>
      <c r="AD53" s="65">
        <v>1500</v>
      </c>
      <c r="AE53" s="65">
        <v>2000</v>
      </c>
      <c r="AF53" s="66">
        <v>2250</v>
      </c>
      <c r="AG53" s="64">
        <v>710</v>
      </c>
      <c r="AH53" s="65">
        <v>680</v>
      </c>
      <c r="AI53" s="65">
        <v>670</v>
      </c>
      <c r="AJ53" s="65">
        <v>625</v>
      </c>
      <c r="AK53" s="65">
        <v>485</v>
      </c>
      <c r="AL53" s="65">
        <v>220</v>
      </c>
      <c r="AM53" s="66">
        <v>0</v>
      </c>
      <c r="AN53" s="67">
        <f>INDEX(LINEST($AG53:$AM53,$Z53:$AF53^Данные!$A$106:$A$110),1,6)</f>
        <v>709.95194873039213</v>
      </c>
      <c r="AO53" s="137">
        <f>INDEX(LINEST($AG53:$AM53,$Z53:$AF53^Данные!$A$106:$A$110),1,5)</f>
        <v>-0.24628824296808605</v>
      </c>
      <c r="AP53" s="137">
        <f>INDEX(LINEST($AG53:$AM53,$Z53:$AF53^Данные!$A$106:$A$110),1,4)</f>
        <v>6.1567083124765612E-4</v>
      </c>
      <c r="AQ53" s="137">
        <f>INDEX(LINEST($AG53:$AM53,$Z53:$AF53^Данные!$A$106:$A$110),1,3)</f>
        <v>-7.0641687191543279E-7</v>
      </c>
      <c r="AR53" s="137">
        <f>INDEX(LINEST($AG53:$AM53,$Z53:$AF53^Данные!$A$106:$A$110),1,2)</f>
        <v>3.0496638174130374E-10</v>
      </c>
      <c r="AS53" s="137">
        <f>INDEX(LINEST($AG53:$AM53,$Z53:$AF53^Данные!$A$106:$A$110),1,1)</f>
        <v>-5.275430840789486E-14</v>
      </c>
      <c r="AT53" s="138">
        <v>0</v>
      </c>
      <c r="AU53" s="63" t="str">
        <f>Производитель_Россия</f>
        <v>Россия</v>
      </c>
      <c r="AV53" s="41"/>
    </row>
    <row r="54" spans="1:48">
      <c r="A54" s="535" t="s">
        <v>717</v>
      </c>
      <c r="B54" s="44" t="e">
        <f>MATCH(A54,Вентиляторы!B$6:B$1864,0)</f>
        <v>#N/A</v>
      </c>
      <c r="C54" s="45" t="e">
        <f ca="1">OFFSET(Вентиляторы!#REF!,B54-1,0)</f>
        <v>#REF!</v>
      </c>
      <c r="D54" s="45" t="e">
        <f ca="1">MID(C54,SEARCH("LV-",C54,1),IFERROR(SEARCH("(",C54,1),LEN(C54)+2)-SEARCH("LV-",C54,1)-1)</f>
        <v>#REF!</v>
      </c>
      <c r="E54" s="486" t="e">
        <f ca="1">OFFSET(Вентиляторы!#REF!,B54-1,0)</f>
        <v>#REF!</v>
      </c>
      <c r="F54" s="501" t="s">
        <v>591</v>
      </c>
      <c r="G54" s="46" t="e">
        <f>AN54+Задача_Расход*(AO54+Задача_Расход*(AP54+Задача_Расход*(AQ54+Задача_Расход*(AR54+Задача_Расход*(AS54+Задача_Расход*AT54)))))</f>
        <v>#REF!</v>
      </c>
      <c r="H54" s="46" t="e">
        <f ca="1">($G54/OFFSET(ПП_Свод!T$3,MATCH(M54,ПП_Свод!B$4:B$213,0),0)-1) &gt; -Задача_Допуск/100</f>
        <v>#REF!</v>
      </c>
      <c r="I54" s="46" t="str">
        <f t="shared" si="9"/>
        <v>600x300=ЛОЖЬ</v>
      </c>
      <c r="J54" s="47" t="e">
        <f t="shared" ca="1" si="3"/>
        <v>#N/A</v>
      </c>
      <c r="K54" s="147">
        <v>600</v>
      </c>
      <c r="L54" s="147">
        <v>300</v>
      </c>
      <c r="M54" s="44" t="str">
        <f>IF(L54&gt;0,IF(K54&gt;0,CONCATENATE(K54,"x",L54),L54),CONCATENATE("Ø",K54))</f>
        <v>600x300</v>
      </c>
      <c r="N54" s="147">
        <v>640</v>
      </c>
      <c r="O54" s="147">
        <v>24</v>
      </c>
      <c r="P54" s="147" t="s">
        <v>43</v>
      </c>
      <c r="Q54" s="147">
        <v>0.24</v>
      </c>
      <c r="R54" s="147">
        <v>0.47</v>
      </c>
      <c r="S54" s="85" t="s">
        <v>459</v>
      </c>
      <c r="T54" s="85" t="b">
        <v>0</v>
      </c>
      <c r="U54" s="85" t="b">
        <v>0</v>
      </c>
      <c r="V54" s="80" t="s">
        <v>170</v>
      </c>
      <c r="W54" s="80" t="s">
        <v>9</v>
      </c>
      <c r="X54" s="139" t="s">
        <v>227</v>
      </c>
      <c r="Y54" s="80" t="s">
        <v>30</v>
      </c>
      <c r="Z54" s="48">
        <v>0</v>
      </c>
      <c r="AA54" s="49">
        <v>500</v>
      </c>
      <c r="AB54" s="49">
        <v>1000</v>
      </c>
      <c r="AC54" s="49">
        <v>1250</v>
      </c>
      <c r="AD54" s="49">
        <v>1500</v>
      </c>
      <c r="AE54" s="49">
        <v>2000</v>
      </c>
      <c r="AF54" s="50">
        <v>2252</v>
      </c>
      <c r="AG54" s="48">
        <v>373</v>
      </c>
      <c r="AH54" s="49">
        <v>330</v>
      </c>
      <c r="AI54" s="49">
        <v>270</v>
      </c>
      <c r="AJ54" s="49">
        <v>230</v>
      </c>
      <c r="AK54" s="49">
        <v>180</v>
      </c>
      <c r="AL54" s="49">
        <v>70</v>
      </c>
      <c r="AM54" s="50">
        <v>0</v>
      </c>
      <c r="AN54" s="51">
        <f>INDEX(LINEST($AG54:$AM54,$Z54:$AF54^Данные!$A$106:$A$110),1,6)</f>
        <v>373.01264504378804</v>
      </c>
      <c r="AO54" s="72">
        <f>INDEX(LINEST($AG54:$AM54,$Z54:$AF54^Данные!$A$106:$A$110),1,5)</f>
        <v>-0.11718905770203678</v>
      </c>
      <c r="AP54" s="72">
        <f>INDEX(LINEST($AG54:$AM54,$Z54:$AF54^Данные!$A$106:$A$110),1,4)</f>
        <v>1.4634653468772996E-4</v>
      </c>
      <c r="AQ54" s="72">
        <f>INDEX(LINEST($AG54:$AM54,$Z54:$AF54^Данные!$A$106:$A$110),1,3)</f>
        <v>-2.146961401243526E-7</v>
      </c>
      <c r="AR54" s="72">
        <f>INDEX(LINEST($AG54:$AM54,$Z54:$AF54^Данные!$A$106:$A$110),1,2)</f>
        <v>9.9956724140390921E-11</v>
      </c>
      <c r="AS54" s="72">
        <f>INDEX(LINEST($AG54:$AM54,$Z54:$AF54^Данные!$A$106:$A$110),1,1)</f>
        <v>-1.6748358474969333E-14</v>
      </c>
      <c r="AT54" s="73">
        <v>0</v>
      </c>
      <c r="AU54" s="44" t="str">
        <f>Производитель_Европа</f>
        <v>Евросоюз</v>
      </c>
      <c r="AV54" s="41"/>
    </row>
    <row r="55" spans="1:48">
      <c r="A55" s="534" t="s">
        <v>718</v>
      </c>
      <c r="B55" s="54" t="e">
        <f>MATCH(A55,Вентиляторы!B$6:B$1864,0)</f>
        <v>#N/A</v>
      </c>
      <c r="C55" s="55" t="e">
        <f ca="1">OFFSET(Вентиляторы!#REF!,B55-1,0)</f>
        <v>#REF!</v>
      </c>
      <c r="D55" s="55" t="e">
        <f t="shared" ca="1" si="11"/>
        <v>#REF!</v>
      </c>
      <c r="E55" s="502" t="e">
        <f ca="1">OFFSET(Вентиляторы!#REF!,B55-1,0)</f>
        <v>#REF!</v>
      </c>
      <c r="F55" s="503" t="s">
        <v>591</v>
      </c>
      <c r="G55" s="56" t="e">
        <f t="shared" si="12"/>
        <v>#REF!</v>
      </c>
      <c r="H55" s="56" t="e">
        <f ca="1">($G55/OFFSET(ПП_Свод!T$3,MATCH(M55,ПП_Свод!B$4:B$213,0),0)-1) &gt; -Задача_Допуск/100</f>
        <v>#REF!</v>
      </c>
      <c r="I55" s="56" t="str">
        <f t="shared" si="9"/>
        <v>600x300=ЛОЖЬ</v>
      </c>
      <c r="J55" s="57" t="e">
        <f t="shared" ca="1" si="3"/>
        <v>#N/A</v>
      </c>
      <c r="K55" s="148">
        <v>600</v>
      </c>
      <c r="L55" s="148">
        <v>300</v>
      </c>
      <c r="M55" s="54" t="str">
        <f t="shared" si="13"/>
        <v>600x300</v>
      </c>
      <c r="N55" s="148">
        <v>640</v>
      </c>
      <c r="O55" s="148">
        <v>25</v>
      </c>
      <c r="P55" s="148" t="s">
        <v>123</v>
      </c>
      <c r="Q55" s="148">
        <v>0.28000000000000003</v>
      </c>
      <c r="R55" s="148">
        <v>1.34</v>
      </c>
      <c r="S55" s="103" t="s">
        <v>459</v>
      </c>
      <c r="T55" s="103" t="b">
        <v>0</v>
      </c>
      <c r="U55" s="103" t="b">
        <v>0</v>
      </c>
      <c r="V55" s="100" t="s">
        <v>17</v>
      </c>
      <c r="W55" s="100" t="s">
        <v>1</v>
      </c>
      <c r="X55" s="140" t="s">
        <v>170</v>
      </c>
      <c r="Y55" s="100" t="s">
        <v>30</v>
      </c>
      <c r="Z55" s="58">
        <v>0</v>
      </c>
      <c r="AA55" s="59">
        <v>500</v>
      </c>
      <c r="AB55" s="59">
        <v>1000</v>
      </c>
      <c r="AC55" s="59">
        <v>1500</v>
      </c>
      <c r="AD55" s="59">
        <v>1750</v>
      </c>
      <c r="AE55" s="59">
        <v>2000</v>
      </c>
      <c r="AF55" s="60">
        <v>2400</v>
      </c>
      <c r="AG55" s="58">
        <v>390</v>
      </c>
      <c r="AH55" s="59">
        <v>357</v>
      </c>
      <c r="AI55" s="59">
        <v>303</v>
      </c>
      <c r="AJ55" s="59">
        <v>220</v>
      </c>
      <c r="AK55" s="59">
        <v>170</v>
      </c>
      <c r="AL55" s="59">
        <v>105</v>
      </c>
      <c r="AM55" s="60">
        <v>0</v>
      </c>
      <c r="AN55" s="61">
        <f>INDEX(LINEST($AG55:$AM55,$Z55:$AF55^Данные!$A$106:$A$110),1,6)</f>
        <v>389.97819250211921</v>
      </c>
      <c r="AO55" s="74">
        <f>INDEX(LINEST($AG55:$AM55,$Z55:$AF55^Данные!$A$106:$A$110),1,5)</f>
        <v>-3.1234713977897028E-2</v>
      </c>
      <c r="AP55" s="74">
        <f>INDEX(LINEST($AG55:$AM55,$Z55:$AF55^Данные!$A$106:$A$110),1,4)</f>
        <v>-9.8301994613873066E-5</v>
      </c>
      <c r="AQ55" s="74">
        <f>INDEX(LINEST($AG55:$AM55,$Z55:$AF55^Данные!$A$106:$A$110),1,3)</f>
        <v>8.0284037952650711E-8</v>
      </c>
      <c r="AR55" s="74">
        <f>INDEX(LINEST($AG55:$AM55,$Z55:$AF55^Данные!$A$106:$A$110),1,2)</f>
        <v>-4.7081730199205646E-11</v>
      </c>
      <c r="AS55" s="74">
        <f>INDEX(LINEST($AG55:$AM55,$Z55:$AF55^Данные!$A$106:$A$110),1,1)</f>
        <v>8.832828387069993E-15</v>
      </c>
      <c r="AT55" s="75">
        <v>0</v>
      </c>
      <c r="AU55" s="54" t="str">
        <f>Производитель_Европа</f>
        <v>Евросоюз</v>
      </c>
      <c r="AV55" s="41"/>
    </row>
    <row r="56" spans="1:48">
      <c r="A56" s="534" t="s">
        <v>719</v>
      </c>
      <c r="B56" s="54" t="e">
        <f>MATCH(A56,Вентиляторы!B$6:B$1864,0)</f>
        <v>#N/A</v>
      </c>
      <c r="C56" s="55" t="e">
        <f ca="1">OFFSET(Вентиляторы!#REF!,B56-1,0)</f>
        <v>#REF!</v>
      </c>
      <c r="D56" s="55" t="e">
        <f t="shared" ca="1" si="11"/>
        <v>#REF!</v>
      </c>
      <c r="E56" s="502" t="e">
        <f ca="1">OFFSET(Вентиляторы!#REF!,B56-1,0)</f>
        <v>#REF!</v>
      </c>
      <c r="F56" s="503" t="s">
        <v>591</v>
      </c>
      <c r="G56" s="56" t="e">
        <f t="shared" si="12"/>
        <v>#REF!</v>
      </c>
      <c r="H56" s="56" t="e">
        <f ca="1">($G56/OFFSET(ПП_Свод!T$3,MATCH(M56,ПП_Свод!B$4:B$213,0),0)-1) &gt; -Задача_Допуск/100</f>
        <v>#REF!</v>
      </c>
      <c r="I56" s="56" t="str">
        <f t="shared" si="9"/>
        <v>600x300=ЛОЖЬ</v>
      </c>
      <c r="J56" s="57" t="e">
        <f t="shared" ca="1" si="3"/>
        <v>#N/A</v>
      </c>
      <c r="K56" s="148">
        <v>600</v>
      </c>
      <c r="L56" s="148">
        <v>300</v>
      </c>
      <c r="M56" s="54" t="str">
        <f t="shared" si="13"/>
        <v>600x300</v>
      </c>
      <c r="N56" s="148">
        <v>640</v>
      </c>
      <c r="O56" s="148">
        <v>25</v>
      </c>
      <c r="P56" s="148" t="s">
        <v>43</v>
      </c>
      <c r="Q56" s="148">
        <v>0.42</v>
      </c>
      <c r="R56" s="148">
        <v>0.86</v>
      </c>
      <c r="S56" s="103" t="s">
        <v>459</v>
      </c>
      <c r="T56" s="103" t="b">
        <v>0</v>
      </c>
      <c r="U56" s="103" t="b">
        <v>0</v>
      </c>
      <c r="V56" s="100" t="s">
        <v>170</v>
      </c>
      <c r="W56" s="100" t="s">
        <v>10</v>
      </c>
      <c r="X56" s="140" t="s">
        <v>228</v>
      </c>
      <c r="Y56" s="100" t="s">
        <v>30</v>
      </c>
      <c r="Z56" s="58">
        <v>0</v>
      </c>
      <c r="AA56" s="59">
        <v>300</v>
      </c>
      <c r="AB56" s="59">
        <v>500</v>
      </c>
      <c r="AC56" s="59">
        <v>1000</v>
      </c>
      <c r="AD56" s="59">
        <v>1500</v>
      </c>
      <c r="AE56" s="59">
        <v>2000</v>
      </c>
      <c r="AF56" s="60">
        <v>2450</v>
      </c>
      <c r="AG56" s="58">
        <v>235</v>
      </c>
      <c r="AH56" s="59">
        <v>220</v>
      </c>
      <c r="AI56" s="59">
        <v>225</v>
      </c>
      <c r="AJ56" s="59">
        <v>230</v>
      </c>
      <c r="AK56" s="59">
        <v>200</v>
      </c>
      <c r="AL56" s="59">
        <v>115</v>
      </c>
      <c r="AM56" s="60">
        <v>0</v>
      </c>
      <c r="AN56" s="61">
        <f>INDEX(LINEST($AG56:$AM56,$Z56:$AF56^Данные!$A$106:$A$110),1,6)</f>
        <v>234.82973966712302</v>
      </c>
      <c r="AO56" s="74">
        <f>INDEX(LINEST($AG56:$AM56,$Z56:$AF56^Данные!$A$106:$A$110),1,5)</f>
        <v>-0.1059891068610043</v>
      </c>
      <c r="AP56" s="74">
        <f>INDEX(LINEST($AG56:$AM56,$Z56:$AF56^Данные!$A$106:$A$110),1,4)</f>
        <v>2.555657487237575E-4</v>
      </c>
      <c r="AQ56" s="74">
        <f>INDEX(LINEST($AG56:$AM56,$Z56:$AF56^Данные!$A$106:$A$110),1,3)</f>
        <v>-2.009640165343198E-7</v>
      </c>
      <c r="AR56" s="74">
        <f>INDEX(LINEST($AG56:$AM56,$Z56:$AF56^Данные!$A$106:$A$110),1,2)</f>
        <v>5.2234698910409472E-11</v>
      </c>
      <c r="AS56" s="74">
        <f>INDEX(LINEST($AG56:$AM56,$Z56:$AF56^Данные!$A$106:$A$110),1,1)</f>
        <v>-4.9373121148456193E-15</v>
      </c>
      <c r="AT56" s="75">
        <v>0</v>
      </c>
      <c r="AU56" s="54" t="str">
        <f>Производитель_Европа</f>
        <v>Евросоюз</v>
      </c>
      <c r="AV56" s="41"/>
    </row>
    <row r="57" spans="1:48">
      <c r="A57" s="534" t="s">
        <v>720</v>
      </c>
      <c r="B57" s="54" t="e">
        <f>MATCH(A57,Вентиляторы!B$6:B$1864,0)</f>
        <v>#N/A</v>
      </c>
      <c r="C57" s="55" t="e">
        <f ca="1">OFFSET(Вентиляторы!#REF!,B57-1,0)</f>
        <v>#REF!</v>
      </c>
      <c r="D57" s="55" t="e">
        <f ca="1">MID(C57,SEARCH("LV-",C57,1),IFERROR(SEARCH("(",C57,1),LEN(C57)+2)-SEARCH("LV-",C57,1)-1)</f>
        <v>#REF!</v>
      </c>
      <c r="E57" s="502" t="e">
        <f ca="1">OFFSET(Вентиляторы!#REF!,B57-1,0)</f>
        <v>#REF!</v>
      </c>
      <c r="F57" s="503" t="s">
        <v>591</v>
      </c>
      <c r="G57" s="56" t="e">
        <f>AN57+Задача_Расход*(AO57+Задача_Расход*(AP57+Задача_Расход*(AQ57+Задача_Расход*(AR57+Задача_Расход*(AS57+Задача_Расход*AT57)))))</f>
        <v>#REF!</v>
      </c>
      <c r="H57" s="56" t="e">
        <f ca="1">($G57/OFFSET(ПП_Свод!T$3,MATCH(M57,ПП_Свод!B$4:B$213,0),0)-1) &gt; -Задача_Допуск/100</f>
        <v>#REF!</v>
      </c>
      <c r="I57" s="56" t="str">
        <f t="shared" si="9"/>
        <v>600x300=ЛОЖЬ</v>
      </c>
      <c r="J57" s="57" t="e">
        <f t="shared" ca="1" si="3"/>
        <v>#N/A</v>
      </c>
      <c r="K57" s="148">
        <v>600</v>
      </c>
      <c r="L57" s="148">
        <v>300</v>
      </c>
      <c r="M57" s="54" t="str">
        <f>IF(L57&gt;0,IF(K57&gt;0,CONCATENATE(K57,"x",L57),L57),CONCATENATE("Ø",K57))</f>
        <v>600x300</v>
      </c>
      <c r="N57" s="148">
        <v>500</v>
      </c>
      <c r="O57" s="148">
        <v>42</v>
      </c>
      <c r="P57" s="148" t="s">
        <v>43</v>
      </c>
      <c r="Q57" s="148">
        <v>0.75</v>
      </c>
      <c r="R57" s="148">
        <v>1.8</v>
      </c>
      <c r="S57" s="103" t="s">
        <v>459</v>
      </c>
      <c r="T57" s="103" t="b">
        <v>0</v>
      </c>
      <c r="U57" s="103" t="b">
        <v>0</v>
      </c>
      <c r="V57" s="100" t="s">
        <v>170</v>
      </c>
      <c r="W57" s="100" t="s">
        <v>170</v>
      </c>
      <c r="X57" s="140" t="s">
        <v>229</v>
      </c>
      <c r="Y57" s="100" t="s">
        <v>30</v>
      </c>
      <c r="Z57" s="58">
        <v>0</v>
      </c>
      <c r="AA57" s="59">
        <v>400</v>
      </c>
      <c r="AB57" s="59">
        <v>800</v>
      </c>
      <c r="AC57" s="59">
        <v>1600</v>
      </c>
      <c r="AD57" s="59">
        <v>2400</v>
      </c>
      <c r="AE57" s="59">
        <v>2800</v>
      </c>
      <c r="AF57" s="60">
        <v>3200</v>
      </c>
      <c r="AG57" s="58">
        <v>895</v>
      </c>
      <c r="AH57" s="59">
        <v>850</v>
      </c>
      <c r="AI57" s="59">
        <v>830</v>
      </c>
      <c r="AJ57" s="59">
        <v>740</v>
      </c>
      <c r="AK57" s="59">
        <v>500</v>
      </c>
      <c r="AL57" s="59">
        <v>300</v>
      </c>
      <c r="AM57" s="60">
        <v>0</v>
      </c>
      <c r="AN57" s="61">
        <f>INDEX(LINEST($AG57:$AM57,$Z57:$AF57^Данные!$A$106:$A$110),1,6)</f>
        <v>895.13831633759992</v>
      </c>
      <c r="AO57" s="74">
        <f>INDEX(LINEST($AG57:$AM57,$Z57:$AF57^Данные!$A$106:$A$110),1,5)</f>
        <v>-0.19950062442530173</v>
      </c>
      <c r="AP57" s="74">
        <f>INDEX(LINEST($AG57:$AM57,$Z57:$AF57^Данные!$A$106:$A$110),1,4)</f>
        <v>2.9591636672299037E-4</v>
      </c>
      <c r="AQ57" s="74">
        <f>INDEX(LINEST($AG57:$AM57,$Z57:$AF57^Данные!$A$106:$A$110),1,3)</f>
        <v>-2.3369609589708077E-7</v>
      </c>
      <c r="AR57" s="74">
        <f>INDEX(LINEST($AG57:$AM57,$Z57:$AF57^Данные!$A$106:$A$110),1,2)</f>
        <v>6.9121593992477961E-11</v>
      </c>
      <c r="AS57" s="74">
        <f>INDEX(LINEST($AG57:$AM57,$Z57:$AF57^Данные!$A$106:$A$110),1,1)</f>
        <v>-8.5739862351196081E-15</v>
      </c>
      <c r="AT57" s="75">
        <v>0</v>
      </c>
      <c r="AU57" s="54" t="str">
        <f>Производитель_Россия</f>
        <v>Россия</v>
      </c>
      <c r="AV57" s="41"/>
    </row>
    <row r="58" spans="1:48">
      <c r="A58" s="534" t="s">
        <v>721</v>
      </c>
      <c r="B58" s="54" t="e">
        <f>MATCH(A58,Вентиляторы!B$6:B$1864,0)</f>
        <v>#N/A</v>
      </c>
      <c r="C58" s="55" t="e">
        <f ca="1">OFFSET(Вентиляторы!#REF!,B58-1,0)</f>
        <v>#REF!</v>
      </c>
      <c r="D58" s="55" t="e">
        <f ca="1">MID(C58,SEARCH("LV-",C58,1),IFERROR(SEARCH("(",C58,1),LEN(C58)+2)-SEARCH("LV-",C58,1)-1)</f>
        <v>#REF!</v>
      </c>
      <c r="E58" s="502" t="e">
        <f ca="1">OFFSET(Вентиляторы!#REF!,B58-1,0)</f>
        <v>#REF!</v>
      </c>
      <c r="F58" s="503" t="s">
        <v>591</v>
      </c>
      <c r="G58" s="56" t="e">
        <f>AN58+Задача_Расход*(AO58+Задача_Расход*(AP58+Задача_Расход*(AQ58+Задача_Расход*(AR58+Задача_Расход*(AS58+Задача_Расход*AT58)))))</f>
        <v>#REF!</v>
      </c>
      <c r="H58" s="56" t="e">
        <f ca="1">($G58/OFFSET(ПП_Свод!T$3,MATCH(M58,ПП_Свод!B$4:B$213,0),0)-1) &gt; -Задача_Допуск/100</f>
        <v>#REF!</v>
      </c>
      <c r="I58" s="56" t="str">
        <f t="shared" si="9"/>
        <v>600x300=ЛОЖЬ</v>
      </c>
      <c r="J58" s="57" t="e">
        <f t="shared" ca="1" si="3"/>
        <v>#N/A</v>
      </c>
      <c r="K58" s="148">
        <v>600</v>
      </c>
      <c r="L58" s="148">
        <v>300</v>
      </c>
      <c r="M58" s="54" t="str">
        <f>IF(L58&gt;0,IF(K58&gt;0,CONCATENATE(K58,"x",L58),L58),CONCATENATE("Ø",K58))</f>
        <v>600x300</v>
      </c>
      <c r="N58" s="148">
        <v>640</v>
      </c>
      <c r="O58" s="148">
        <v>31</v>
      </c>
      <c r="P58" s="148" t="s">
        <v>43</v>
      </c>
      <c r="Q58" s="148">
        <v>1.5</v>
      </c>
      <c r="R58" s="148">
        <v>2.6</v>
      </c>
      <c r="S58" s="103" t="s">
        <v>459</v>
      </c>
      <c r="T58" s="103" t="b">
        <v>0</v>
      </c>
      <c r="U58" s="103" t="b">
        <v>0</v>
      </c>
      <c r="V58" s="100" t="s">
        <v>170</v>
      </c>
      <c r="W58" s="100" t="s">
        <v>12</v>
      </c>
      <c r="X58" s="140" t="s">
        <v>231</v>
      </c>
      <c r="Y58" s="100" t="s">
        <v>30</v>
      </c>
      <c r="Z58" s="58">
        <v>0</v>
      </c>
      <c r="AA58" s="59">
        <v>750</v>
      </c>
      <c r="AB58" s="59">
        <v>1250</v>
      </c>
      <c r="AC58" s="59">
        <v>1500</v>
      </c>
      <c r="AD58" s="59">
        <v>2100</v>
      </c>
      <c r="AE58" s="59">
        <v>2750</v>
      </c>
      <c r="AF58" s="60">
        <v>3400</v>
      </c>
      <c r="AG58" s="58">
        <v>465</v>
      </c>
      <c r="AH58" s="59">
        <v>480</v>
      </c>
      <c r="AI58" s="59">
        <v>485</v>
      </c>
      <c r="AJ58" s="59">
        <v>480</v>
      </c>
      <c r="AK58" s="59">
        <v>420</v>
      </c>
      <c r="AL58" s="59">
        <v>285</v>
      </c>
      <c r="AM58" s="60">
        <v>50</v>
      </c>
      <c r="AN58" s="61">
        <f>INDEX(LINEST($AG58:$AM58,$Z58:$AF58^Данные!$A$106:$A$110),1,6)</f>
        <v>465.02018817116993</v>
      </c>
      <c r="AO58" s="74">
        <f>INDEX(LINEST($AG58:$AM58,$Z58:$AF58^Данные!$A$106:$A$110),1,5)</f>
        <v>-3.1574801420089629E-2</v>
      </c>
      <c r="AP58" s="74">
        <f>INDEX(LINEST($AG58:$AM58,$Z58:$AF58^Данные!$A$106:$A$110),1,4)</f>
        <v>1.3023006069874318E-4</v>
      </c>
      <c r="AQ58" s="74">
        <f>INDEX(LINEST($AG58:$AM58,$Z58:$AF58^Данные!$A$106:$A$110),1,3)</f>
        <v>-9.936060866204653E-8</v>
      </c>
      <c r="AR58" s="74">
        <f>INDEX(LINEST($AG58:$AM58,$Z58:$AF58^Данные!$A$106:$A$110),1,2)</f>
        <v>2.414549945314475E-11</v>
      </c>
      <c r="AS58" s="74">
        <f>INDEX(LINEST($AG58:$AM58,$Z58:$AF58^Данные!$A$106:$A$110),1,1)</f>
        <v>-2.4969241942917899E-15</v>
      </c>
      <c r="AT58" s="75">
        <v>0</v>
      </c>
      <c r="AU58" s="54" t="str">
        <f>Производитель_Европа</f>
        <v>Евросоюз</v>
      </c>
      <c r="AV58" s="41"/>
    </row>
    <row r="59" spans="1:48">
      <c r="A59" s="534" t="s">
        <v>722</v>
      </c>
      <c r="B59" s="54" t="e">
        <f>MATCH(A59,Вентиляторы!B$6:B$1864,0)</f>
        <v>#N/A</v>
      </c>
      <c r="C59" s="55" t="e">
        <f ca="1">OFFSET(Вентиляторы!#REF!,B59-1,0)</f>
        <v>#REF!</v>
      </c>
      <c r="D59" s="55" t="e">
        <f ca="1">MID(C59,SEARCH("LV-",C59,1),IFERROR(SEARCH("(",C59,1),LEN(C59)+2)-SEARCH("LV-",C59,1)-1)</f>
        <v>#REF!</v>
      </c>
      <c r="E59" s="502" t="e">
        <f ca="1">OFFSET(Вентиляторы!#REF!,B59-1,0)</f>
        <v>#REF!</v>
      </c>
      <c r="F59" s="503" t="s">
        <v>591</v>
      </c>
      <c r="G59" s="56" t="e">
        <f>AN59+Задача_Расход*(AO59+Задача_Расход*(AP59+Задача_Расход*(AQ59+Задача_Расход*(AR59+Задача_Расход*(AS59+Задача_Расход*AT59)))))</f>
        <v>#REF!</v>
      </c>
      <c r="H59" s="56" t="e">
        <f ca="1">($G59/OFFSET(ПП_Свод!T$3,MATCH(M59,ПП_Свод!B$4:B$213,0),0)-1) &gt; -Задача_Допуск/100</f>
        <v>#REF!</v>
      </c>
      <c r="I59" s="56" t="str">
        <f t="shared" si="9"/>
        <v>600x300=ЛОЖЬ</v>
      </c>
      <c r="J59" s="57" t="e">
        <f t="shared" ca="1" si="3"/>
        <v>#N/A</v>
      </c>
      <c r="K59" s="148">
        <v>600</v>
      </c>
      <c r="L59" s="148">
        <v>300</v>
      </c>
      <c r="M59" s="54" t="str">
        <f>IF(L59&gt;0,IF(K59&gt;0,CONCATENATE(K59,"x",L59),L59),CONCATENATE("Ø",K59))</f>
        <v>600x300</v>
      </c>
      <c r="N59" s="148">
        <v>640</v>
      </c>
      <c r="O59" s="148">
        <v>23</v>
      </c>
      <c r="P59" s="148" t="s">
        <v>123</v>
      </c>
      <c r="Q59" s="148">
        <v>0.47</v>
      </c>
      <c r="R59" s="148">
        <v>2.21</v>
      </c>
      <c r="S59" s="103" t="s">
        <v>459</v>
      </c>
      <c r="T59" s="103" t="b">
        <v>0</v>
      </c>
      <c r="U59" s="103" t="b">
        <v>0</v>
      </c>
      <c r="V59" s="100" t="s">
        <v>17</v>
      </c>
      <c r="W59" s="100" t="s">
        <v>3</v>
      </c>
      <c r="X59" s="140" t="s">
        <v>170</v>
      </c>
      <c r="Y59" s="100" t="s">
        <v>30</v>
      </c>
      <c r="Z59" s="58">
        <v>0</v>
      </c>
      <c r="AA59" s="59">
        <v>250</v>
      </c>
      <c r="AB59" s="59">
        <v>750</v>
      </c>
      <c r="AC59" s="59">
        <v>1000</v>
      </c>
      <c r="AD59" s="59">
        <v>1250</v>
      </c>
      <c r="AE59" s="59">
        <v>1700</v>
      </c>
      <c r="AF59" s="60">
        <v>2100</v>
      </c>
      <c r="AG59" s="58">
        <v>225</v>
      </c>
      <c r="AH59" s="59">
        <v>220</v>
      </c>
      <c r="AI59" s="59">
        <v>225</v>
      </c>
      <c r="AJ59" s="59">
        <v>230</v>
      </c>
      <c r="AK59" s="59">
        <v>225</v>
      </c>
      <c r="AL59" s="59">
        <v>150</v>
      </c>
      <c r="AM59" s="60">
        <v>0</v>
      </c>
      <c r="AN59" s="61">
        <f>INDEX(LINEST($AG59:$AM59,$Z59:$AF59^Данные!$A$106:$A$110),1,6)</f>
        <v>224.98160094678207</v>
      </c>
      <c r="AO59" s="74">
        <f>INDEX(LINEST($AG59:$AM59,$Z59:$AF59^Данные!$A$106:$A$110),1,5)</f>
        <v>-1.14579773986136E-2</v>
      </c>
      <c r="AP59" s="74">
        <f>INDEX(LINEST($AG59:$AM59,$Z59:$AF59^Данные!$A$106:$A$110),1,4)</f>
        <v>-8.5514875304267416E-5</v>
      </c>
      <c r="AQ59" s="74">
        <f>INDEX(LINEST($AG59:$AM59,$Z59:$AF59^Данные!$A$106:$A$110),1,3)</f>
        <v>2.5573040653053429E-7</v>
      </c>
      <c r="AR59" s="74">
        <f>INDEX(LINEST($AG59:$AM59,$Z59:$AF59^Данные!$A$106:$A$110),1,2)</f>
        <v>-1.902179888192701E-10</v>
      </c>
      <c r="AS59" s="74">
        <f>INDEX(LINEST($AG59:$AM59,$Z59:$AF59^Данные!$A$106:$A$110),1,1)</f>
        <v>3.6905357551267891E-14</v>
      </c>
      <c r="AT59" s="75">
        <v>0</v>
      </c>
      <c r="AU59" s="54" t="str">
        <f>Производитель_Европа</f>
        <v>Евросоюз</v>
      </c>
      <c r="AV59" s="41"/>
    </row>
    <row r="60" spans="1:48">
      <c r="A60" s="534" t="s">
        <v>723</v>
      </c>
      <c r="B60" s="54" t="e">
        <f>MATCH(A60,Вентиляторы!B$6:B$1864,0)</f>
        <v>#N/A</v>
      </c>
      <c r="C60" s="55" t="e">
        <f ca="1">OFFSET(Вентиляторы!#REF!,B60-1,0)</f>
        <v>#REF!</v>
      </c>
      <c r="D60" s="55" t="e">
        <f t="shared" ca="1" si="11"/>
        <v>#REF!</v>
      </c>
      <c r="E60" s="502" t="e">
        <f ca="1">OFFSET(Вентиляторы!#REF!,B60-1,0)</f>
        <v>#REF!</v>
      </c>
      <c r="F60" s="503" t="s">
        <v>591</v>
      </c>
      <c r="G60" s="56" t="e">
        <f t="shared" si="12"/>
        <v>#REF!</v>
      </c>
      <c r="H60" s="56" t="e">
        <f ca="1">($G60/OFFSET(ПП_Свод!T$3,MATCH(M60,ПП_Свод!B$4:B$213,0),0)-1) &gt; -Задача_Допуск/100</f>
        <v>#REF!</v>
      </c>
      <c r="I60" s="56" t="str">
        <f t="shared" si="9"/>
        <v>600x300=ЛОЖЬ</v>
      </c>
      <c r="J60" s="57" t="e">
        <f t="shared" ca="1" si="3"/>
        <v>#N/A</v>
      </c>
      <c r="K60" s="148">
        <v>600</v>
      </c>
      <c r="L60" s="148">
        <v>300</v>
      </c>
      <c r="M60" s="54" t="str">
        <f t="shared" si="13"/>
        <v>600x300</v>
      </c>
      <c r="N60" s="148">
        <v>640</v>
      </c>
      <c r="O60" s="148">
        <v>31</v>
      </c>
      <c r="P60" s="148" t="s">
        <v>123</v>
      </c>
      <c r="Q60" s="148">
        <v>1.1499999999999999</v>
      </c>
      <c r="R60" s="148">
        <v>5.0999999999999996</v>
      </c>
      <c r="S60" s="103" t="s">
        <v>459</v>
      </c>
      <c r="T60" s="103" t="b">
        <v>0</v>
      </c>
      <c r="U60" s="103" t="b">
        <v>0</v>
      </c>
      <c r="V60" s="100" t="s">
        <v>18</v>
      </c>
      <c r="W60" s="100" t="s">
        <v>6</v>
      </c>
      <c r="X60" s="140" t="s">
        <v>170</v>
      </c>
      <c r="Y60" s="100" t="s">
        <v>30</v>
      </c>
      <c r="Z60" s="58">
        <v>0</v>
      </c>
      <c r="AA60" s="59">
        <v>750</v>
      </c>
      <c r="AB60" s="59">
        <v>1200</v>
      </c>
      <c r="AC60" s="59">
        <v>1500</v>
      </c>
      <c r="AD60" s="59">
        <v>1850</v>
      </c>
      <c r="AE60" s="59">
        <v>2250</v>
      </c>
      <c r="AF60" s="60">
        <v>2725</v>
      </c>
      <c r="AG60" s="58">
        <v>435</v>
      </c>
      <c r="AH60" s="59">
        <v>450</v>
      </c>
      <c r="AI60" s="59">
        <v>455</v>
      </c>
      <c r="AJ60" s="59">
        <v>451</v>
      </c>
      <c r="AK60" s="59">
        <v>400</v>
      </c>
      <c r="AL60" s="59">
        <v>275</v>
      </c>
      <c r="AM60" s="60">
        <v>0</v>
      </c>
      <c r="AN60" s="61">
        <f>INDEX(LINEST($AG60:$AM60,$Z60:$AF60^Данные!$A$106:$A$110),1,6)</f>
        <v>435.02005859246759</v>
      </c>
      <c r="AO60" s="74">
        <f>INDEX(LINEST($AG60:$AM60,$Z60:$AF60^Данные!$A$106:$A$110),1,5)</f>
        <v>6.0699778403901436E-2</v>
      </c>
      <c r="AP60" s="74">
        <f>INDEX(LINEST($AG60:$AM60,$Z60:$AF60^Данные!$A$106:$A$110),1,4)</f>
        <v>-1.5517158663617733E-4</v>
      </c>
      <c r="AQ60" s="74">
        <f>INDEX(LINEST($AG60:$AM60,$Z60:$AF60^Данные!$A$106:$A$110),1,3)</f>
        <v>2.0260476279654011E-7</v>
      </c>
      <c r="AR60" s="74">
        <f>INDEX(LINEST($AG60:$AM60,$Z60:$AF60^Данные!$A$106:$A$110),1,2)</f>
        <v>-1.0249344275206389E-10</v>
      </c>
      <c r="AS60" s="74">
        <f>INDEX(LINEST($AG60:$AM60,$Z60:$AF60^Данные!$A$106:$A$110),1,1)</f>
        <v>1.4000741643295227E-14</v>
      </c>
      <c r="AT60" s="75">
        <v>0</v>
      </c>
      <c r="AU60" s="54" t="str">
        <f>Производитель_Европа</f>
        <v>Евросоюз</v>
      </c>
      <c r="AV60" s="41"/>
    </row>
    <row r="61" spans="1:48">
      <c r="A61" s="534" t="s">
        <v>724</v>
      </c>
      <c r="B61" s="54" t="e">
        <f>MATCH(A61,Вентиляторы!B$6:B$1864,0)</f>
        <v>#N/A</v>
      </c>
      <c r="C61" s="55" t="e">
        <f ca="1">OFFSET(Вентиляторы!#REF!,B61-1,0)</f>
        <v>#REF!</v>
      </c>
      <c r="D61" s="55" t="e">
        <f ca="1">MID(C61,SEARCH("LV-",C61,1),IFERROR(SEARCH("(",C61,1),LEN(C61)+2)-SEARCH("LV-",C61,1)-1)</f>
        <v>#REF!</v>
      </c>
      <c r="E61" s="502" t="e">
        <f ca="1">OFFSET(Вентиляторы!#REF!,B61-1,0)</f>
        <v>#REF!</v>
      </c>
      <c r="F61" s="503" t="s">
        <v>591</v>
      </c>
      <c r="G61" s="56" t="e">
        <f>AN61+Задача_Расход*(AO61+Задача_Расход*(AP61+Задача_Расход*(AQ61+Задача_Расход*(AR61+Задача_Расход*(AS61+Задача_Расход*AT61)))))</f>
        <v>#REF!</v>
      </c>
      <c r="H61" s="56" t="e">
        <f ca="1">($G61/OFFSET(ПП_Свод!T$3,MATCH(M61,ПП_Свод!B$4:B$213,0),0)-1) &gt; -Задача_Допуск/100</f>
        <v>#REF!</v>
      </c>
      <c r="I61" s="56" t="str">
        <f t="shared" si="9"/>
        <v>600x300=ЛОЖЬ</v>
      </c>
      <c r="J61" s="57" t="e">
        <f t="shared" ca="1" si="3"/>
        <v>#N/A</v>
      </c>
      <c r="K61" s="148">
        <v>600</v>
      </c>
      <c r="L61" s="148">
        <v>300</v>
      </c>
      <c r="M61" s="54" t="str">
        <f>IF(L61&gt;0,IF(K61&gt;0,CONCATENATE(K61,"x",L61),L61),CONCATENATE("Ø",K61))</f>
        <v>600x300</v>
      </c>
      <c r="N61" s="148">
        <v>640</v>
      </c>
      <c r="O61" s="148">
        <v>49</v>
      </c>
      <c r="P61" s="148" t="s">
        <v>43</v>
      </c>
      <c r="Q61" s="148">
        <v>1.5</v>
      </c>
      <c r="R61" s="148">
        <v>2.6</v>
      </c>
      <c r="S61" s="103" t="s">
        <v>459</v>
      </c>
      <c r="T61" s="103" t="b">
        <v>1</v>
      </c>
      <c r="U61" s="103" t="b">
        <v>0</v>
      </c>
      <c r="V61" s="100" t="s">
        <v>170</v>
      </c>
      <c r="W61" s="100" t="s">
        <v>12</v>
      </c>
      <c r="X61" s="140" t="s">
        <v>231</v>
      </c>
      <c r="Y61" s="100" t="s">
        <v>30</v>
      </c>
      <c r="Z61" s="58">
        <v>0</v>
      </c>
      <c r="AA61" s="59">
        <v>200</v>
      </c>
      <c r="AB61" s="59">
        <v>700</v>
      </c>
      <c r="AC61" s="59">
        <v>1500</v>
      </c>
      <c r="AD61" s="59">
        <v>2000</v>
      </c>
      <c r="AE61" s="59">
        <v>2480</v>
      </c>
      <c r="AF61" s="60">
        <v>2810</v>
      </c>
      <c r="AG61" s="58">
        <v>462</v>
      </c>
      <c r="AH61" s="59">
        <v>470</v>
      </c>
      <c r="AI61" s="59">
        <v>485</v>
      </c>
      <c r="AJ61" s="59">
        <v>470</v>
      </c>
      <c r="AK61" s="59">
        <v>380</v>
      </c>
      <c r="AL61" s="59">
        <v>200</v>
      </c>
      <c r="AM61" s="60">
        <v>55</v>
      </c>
      <c r="AN61" s="61">
        <f>INDEX(LINEST($AG61:$AM61,$Z61:$AF61^Данные!$A$106:$A$110),1,6)</f>
        <v>461.50388591658952</v>
      </c>
      <c r="AO61" s="74">
        <f>INDEX(LINEST($AG61:$AM61,$Z61:$AF61^Данные!$A$106:$A$110),1,5)</f>
        <v>6.6044483044158622E-2</v>
      </c>
      <c r="AP61" s="74">
        <f>INDEX(LINEST($AG61:$AM61,$Z61:$AF61^Данные!$A$106:$A$110),1,4)</f>
        <v>-1.2031384535777496E-4</v>
      </c>
      <c r="AQ61" s="74">
        <f>INDEX(LINEST($AG61:$AM61,$Z61:$AF61^Данные!$A$106:$A$110),1,3)</f>
        <v>1.6107954104250225E-7</v>
      </c>
      <c r="AR61" s="74">
        <f>INDEX(LINEST($AG61:$AM61,$Z61:$AF61^Данные!$A$106:$A$110),1,2)</f>
        <v>-9.4338523968930936E-11</v>
      </c>
      <c r="AS61" s="74">
        <f>INDEX(LINEST($AG61:$AM61,$Z61:$AF61^Данные!$A$106:$A$110),1,1)</f>
        <v>1.5213954178268933E-14</v>
      </c>
      <c r="AT61" s="75">
        <v>0</v>
      </c>
      <c r="AU61" s="54" t="str">
        <f>Производитель_Европа</f>
        <v>Евросоюз</v>
      </c>
      <c r="AV61" s="41"/>
    </row>
    <row r="62" spans="1:48">
      <c r="A62" s="534" t="s">
        <v>725</v>
      </c>
      <c r="B62" s="54" t="e">
        <f>MATCH(A62,Вентиляторы!B$6:B$1864,0)</f>
        <v>#N/A</v>
      </c>
      <c r="C62" s="55" t="e">
        <f ca="1">OFFSET(Вентиляторы!#REF!,B62-1,0)</f>
        <v>#REF!</v>
      </c>
      <c r="D62" s="55" t="e">
        <f t="shared" ca="1" si="11"/>
        <v>#REF!</v>
      </c>
      <c r="E62" s="502" t="e">
        <f ca="1">OFFSET(Вентиляторы!#REF!,B62-1,0)</f>
        <v>#REF!</v>
      </c>
      <c r="F62" s="503" t="s">
        <v>591</v>
      </c>
      <c r="G62" s="56" t="e">
        <f t="shared" si="12"/>
        <v>#REF!</v>
      </c>
      <c r="H62" s="56" t="e">
        <f ca="1">($G62/OFFSET(ПП_Свод!T$3,MATCH(M62,ПП_Свод!B$4:B$213,0),0)-1) &gt; -Задача_Допуск/100</f>
        <v>#REF!</v>
      </c>
      <c r="I62" s="56" t="str">
        <f t="shared" si="9"/>
        <v>600x300=ЛОЖЬ</v>
      </c>
      <c r="J62" s="57" t="e">
        <f t="shared" ca="1" si="3"/>
        <v>#N/A</v>
      </c>
      <c r="K62" s="148">
        <v>600</v>
      </c>
      <c r="L62" s="148">
        <v>300</v>
      </c>
      <c r="M62" s="54" t="str">
        <f t="shared" si="13"/>
        <v>600x300</v>
      </c>
      <c r="N62" s="148">
        <v>640</v>
      </c>
      <c r="O62" s="148">
        <v>37</v>
      </c>
      <c r="P62" s="148" t="s">
        <v>123</v>
      </c>
      <c r="Q62" s="148">
        <v>1.0109999999999999</v>
      </c>
      <c r="R62" s="148">
        <v>5.0999999999999996</v>
      </c>
      <c r="S62" s="103" t="s">
        <v>459</v>
      </c>
      <c r="T62" s="103" t="b">
        <v>1</v>
      </c>
      <c r="U62" s="103" t="b">
        <v>0</v>
      </c>
      <c r="V62" s="100" t="s">
        <v>18</v>
      </c>
      <c r="W62" s="100" t="s">
        <v>6</v>
      </c>
      <c r="X62" s="140" t="s">
        <v>170</v>
      </c>
      <c r="Y62" s="100" t="s">
        <v>30</v>
      </c>
      <c r="Z62" s="58">
        <v>0</v>
      </c>
      <c r="AA62" s="59">
        <v>400</v>
      </c>
      <c r="AB62" s="59">
        <v>1000</v>
      </c>
      <c r="AC62" s="59">
        <v>1400</v>
      </c>
      <c r="AD62" s="59">
        <v>1700</v>
      </c>
      <c r="AE62" s="59">
        <v>2000</v>
      </c>
      <c r="AF62" s="60">
        <v>2090</v>
      </c>
      <c r="AG62" s="58">
        <v>437</v>
      </c>
      <c r="AH62" s="59">
        <v>445</v>
      </c>
      <c r="AI62" s="59">
        <v>457</v>
      </c>
      <c r="AJ62" s="59">
        <v>438</v>
      </c>
      <c r="AK62" s="59">
        <v>372</v>
      </c>
      <c r="AL62" s="59">
        <v>200</v>
      </c>
      <c r="AM62" s="60">
        <v>135</v>
      </c>
      <c r="AN62" s="61">
        <f>INDEX(LINEST($AG62:$AM62,$Z62:$AF62^Данные!$A$106:$A$110),1,6)</f>
        <v>436.94777040891887</v>
      </c>
      <c r="AO62" s="74">
        <f>INDEX(LINEST($AG62:$AM62,$Z62:$AF62^Данные!$A$106:$A$110),1,5)</f>
        <v>8.749921154091439E-2</v>
      </c>
      <c r="AP62" s="74">
        <f>INDEX(LINEST($AG62:$AM62,$Z62:$AF62^Данные!$A$106:$A$110),1,4)</f>
        <v>-3.0865855234572603E-4</v>
      </c>
      <c r="AQ62" s="74">
        <f>INDEX(LINEST($AG62:$AM62,$Z62:$AF62^Данные!$A$106:$A$110),1,3)</f>
        <v>4.4415251648960054E-7</v>
      </c>
      <c r="AR62" s="74">
        <f>INDEX(LINEST($AG62:$AM62,$Z62:$AF62^Данные!$A$106:$A$110),1,2)</f>
        <v>-2.3774420472420156E-10</v>
      </c>
      <c r="AS62" s="74">
        <f>INDEX(LINEST($AG62:$AM62,$Z62:$AF62^Данные!$A$106:$A$110),1,1)</f>
        <v>3.3668263296492955E-14</v>
      </c>
      <c r="AT62" s="75">
        <v>0</v>
      </c>
      <c r="AU62" s="54" t="str">
        <f>Производитель_Европа</f>
        <v>Евросоюз</v>
      </c>
      <c r="AV62" s="41"/>
    </row>
    <row r="63" spans="1:48">
      <c r="A63" s="536" t="s">
        <v>726</v>
      </c>
      <c r="B63" s="63">
        <f>MATCH(A63,Вентиляторы!B$6:B$1864,0)</f>
        <v>36</v>
      </c>
      <c r="C63" s="69" t="e">
        <f ca="1">OFFSET(Вентиляторы!#REF!,B63-1,0)</f>
        <v>#REF!</v>
      </c>
      <c r="D63" s="69" t="e">
        <f t="shared" ca="1" si="11"/>
        <v>#REF!</v>
      </c>
      <c r="E63" s="504" t="e">
        <f ca="1">OFFSET(Вентиляторы!#REF!,B63-1,0)</f>
        <v>#REF!</v>
      </c>
      <c r="F63" s="505" t="s">
        <v>591</v>
      </c>
      <c r="G63" s="70" t="e">
        <f t="shared" si="12"/>
        <v>#REF!</v>
      </c>
      <c r="H63" s="70" t="e">
        <f ca="1">($G63/OFFSET(ПП_Свод!T$3,MATCH(M63,ПП_Свод!B$4:B$213,0),0)-1) &gt; -Задача_Допуск/100</f>
        <v>#REF!</v>
      </c>
      <c r="I63" s="70" t="str">
        <f t="shared" si="9"/>
        <v>600x300=ЛОЖЬ</v>
      </c>
      <c r="J63" s="71" t="e">
        <f t="shared" ca="1" si="3"/>
        <v>#N/A</v>
      </c>
      <c r="K63" s="149">
        <v>600</v>
      </c>
      <c r="L63" s="149">
        <v>300</v>
      </c>
      <c r="M63" s="63" t="str">
        <f t="shared" si="13"/>
        <v>600x300</v>
      </c>
      <c r="N63" s="149">
        <v>600</v>
      </c>
      <c r="O63" s="149">
        <v>72</v>
      </c>
      <c r="P63" s="149" t="s">
        <v>43</v>
      </c>
      <c r="Q63" s="149">
        <v>0.75</v>
      </c>
      <c r="R63" s="149">
        <v>1.8</v>
      </c>
      <c r="S63" s="95" t="s">
        <v>459</v>
      </c>
      <c r="T63" s="95" t="b">
        <v>1</v>
      </c>
      <c r="U63" s="95" t="b">
        <v>0</v>
      </c>
      <c r="V63" s="90" t="s">
        <v>170</v>
      </c>
      <c r="W63" s="90" t="s">
        <v>170</v>
      </c>
      <c r="X63" s="141" t="s">
        <v>229</v>
      </c>
      <c r="Y63" s="90" t="s">
        <v>30</v>
      </c>
      <c r="Z63" s="64">
        <v>0</v>
      </c>
      <c r="AA63" s="65">
        <v>500</v>
      </c>
      <c r="AB63" s="65">
        <v>1000</v>
      </c>
      <c r="AC63" s="65">
        <v>1500</v>
      </c>
      <c r="AD63" s="65">
        <v>2000</v>
      </c>
      <c r="AE63" s="65">
        <v>2700</v>
      </c>
      <c r="AF63" s="66">
        <v>3180</v>
      </c>
      <c r="AG63" s="64">
        <v>891</v>
      </c>
      <c r="AH63" s="65">
        <v>850</v>
      </c>
      <c r="AI63" s="65">
        <v>825</v>
      </c>
      <c r="AJ63" s="65">
        <v>760</v>
      </c>
      <c r="AK63" s="65">
        <v>650</v>
      </c>
      <c r="AL63" s="65">
        <v>370</v>
      </c>
      <c r="AM63" s="66">
        <v>0</v>
      </c>
      <c r="AN63" s="67">
        <f>INDEX(LINEST($AG63:$AM63,$Z63:$AF63^Данные!$A$106:$A$110),1,6)</f>
        <v>890.92641721028099</v>
      </c>
      <c r="AO63" s="137">
        <f>INDEX(LINEST($AG63:$AM63,$Z63:$AF63^Данные!$A$106:$A$110),1,5)</f>
        <v>-0.16362462760455823</v>
      </c>
      <c r="AP63" s="137">
        <f>INDEX(LINEST($AG63:$AM63,$Z63:$AF63^Данные!$A$106:$A$110),1,4)</f>
        <v>2.6539335391872945E-4</v>
      </c>
      <c r="AQ63" s="137">
        <f>INDEX(LINEST($AG63:$AM63,$Z63:$AF63^Данные!$A$106:$A$110),1,3)</f>
        <v>-2.3728624394770367E-7</v>
      </c>
      <c r="AR63" s="137">
        <f>INDEX(LINEST($AG63:$AM63,$Z63:$AF63^Данные!$A$106:$A$110),1,2)</f>
        <v>7.949433949244628E-11</v>
      </c>
      <c r="AS63" s="137">
        <f>INDEX(LINEST($AG63:$AM63,$Z63:$AF63^Данные!$A$106:$A$110),1,1)</f>
        <v>-1.0926091469381947E-14</v>
      </c>
      <c r="AT63" s="138">
        <v>0</v>
      </c>
      <c r="AU63" s="63" t="str">
        <f>Производитель_Россия</f>
        <v>Россия</v>
      </c>
      <c r="AV63" s="41"/>
    </row>
    <row r="64" spans="1:48">
      <c r="A64" s="535" t="s">
        <v>727</v>
      </c>
      <c r="B64" s="44" t="e">
        <f>MATCH(A64,Вентиляторы!B$6:B$1864,0)</f>
        <v>#N/A</v>
      </c>
      <c r="C64" s="45" t="e">
        <f ca="1">OFFSET(Вентиляторы!#REF!,B64-1,0)</f>
        <v>#REF!</v>
      </c>
      <c r="D64" s="45" t="e">
        <f t="shared" ca="1" si="11"/>
        <v>#REF!</v>
      </c>
      <c r="E64" s="486" t="e">
        <f ca="1">OFFSET(Вентиляторы!#REF!,B64-1,0)</f>
        <v>#REF!</v>
      </c>
      <c r="F64" s="501" t="s">
        <v>591</v>
      </c>
      <c r="G64" s="46" t="e">
        <f t="shared" si="12"/>
        <v>#REF!</v>
      </c>
      <c r="H64" s="46" t="e">
        <f ca="1">($G64/OFFSET(ПП_Свод!T$3,MATCH(M64,ПП_Свод!B$4:B$213,0),0)-1) &gt; -Задача_Допуск/100</f>
        <v>#REF!</v>
      </c>
      <c r="I64" s="46" t="str">
        <f t="shared" si="9"/>
        <v>600x350=ЛОЖЬ</v>
      </c>
      <c r="J64" s="47" t="e">
        <f t="shared" ca="1" si="3"/>
        <v>#N/A</v>
      </c>
      <c r="K64" s="147">
        <v>600</v>
      </c>
      <c r="L64" s="147">
        <v>350</v>
      </c>
      <c r="M64" s="44" t="str">
        <f t="shared" si="13"/>
        <v>600x350</v>
      </c>
      <c r="N64" s="147">
        <v>700</v>
      </c>
      <c r="O64" s="147">
        <v>24</v>
      </c>
      <c r="P64" s="147" t="s">
        <v>123</v>
      </c>
      <c r="Q64" s="147">
        <v>0.45</v>
      </c>
      <c r="R64" s="147">
        <v>2.14</v>
      </c>
      <c r="S64" s="85" t="s">
        <v>459</v>
      </c>
      <c r="T64" s="85" t="b">
        <v>0</v>
      </c>
      <c r="U64" s="85" t="b">
        <v>0</v>
      </c>
      <c r="V64" s="80" t="s">
        <v>17</v>
      </c>
      <c r="W64" s="80" t="s">
        <v>3</v>
      </c>
      <c r="X64" s="139" t="s">
        <v>170</v>
      </c>
      <c r="Y64" s="80" t="s">
        <v>31</v>
      </c>
      <c r="Z64" s="48">
        <v>0</v>
      </c>
      <c r="AA64" s="49">
        <v>500</v>
      </c>
      <c r="AB64" s="49">
        <v>1000</v>
      </c>
      <c r="AC64" s="49">
        <v>1500</v>
      </c>
      <c r="AD64" s="49">
        <v>2000</v>
      </c>
      <c r="AE64" s="49">
        <v>3000</v>
      </c>
      <c r="AF64" s="50">
        <v>4120</v>
      </c>
      <c r="AG64" s="48">
        <v>570</v>
      </c>
      <c r="AH64" s="49">
        <v>575</v>
      </c>
      <c r="AI64" s="49">
        <v>590</v>
      </c>
      <c r="AJ64" s="49">
        <v>602</v>
      </c>
      <c r="AK64" s="49">
        <v>590</v>
      </c>
      <c r="AL64" s="49">
        <v>430</v>
      </c>
      <c r="AM64" s="50">
        <v>0</v>
      </c>
      <c r="AN64" s="51">
        <f>INDEX(LINEST($AG64:$AM64,$Z64:$AF64^Данные!$A$106:$A$110),1,6)</f>
        <v>570.02491229689304</v>
      </c>
      <c r="AO64" s="72">
        <f>INDEX(LINEST($AG64:$AM64,$Z64:$AF64^Данные!$A$106:$A$110),1,5)</f>
        <v>-6.6405023693921865E-3</v>
      </c>
      <c r="AP64" s="72">
        <f>INDEX(LINEST($AG64:$AM64,$Z64:$AF64^Данные!$A$106:$A$110),1,4)</f>
        <v>3.4723032207719794E-5</v>
      </c>
      <c r="AQ64" s="72">
        <f>INDEX(LINEST($AG64:$AM64,$Z64:$AF64^Данные!$A$106:$A$110),1,3)</f>
        <v>1.0164300661119771E-10</v>
      </c>
      <c r="AR64" s="72">
        <f>INDEX(LINEST($AG64:$AM64,$Z64:$AF64^Данные!$A$106:$A$110),1,2)</f>
        <v>-9.1820280841542458E-12</v>
      </c>
      <c r="AS64" s="72">
        <f>INDEX(LINEST($AG64:$AM64,$Z64:$AF64^Данные!$A$106:$A$110),1,1)</f>
        <v>1.2690160092472535E-15</v>
      </c>
      <c r="AT64" s="73">
        <v>0</v>
      </c>
      <c r="AU64" s="44" t="str">
        <f>Производитель_Европа</f>
        <v>Евросоюз</v>
      </c>
      <c r="AV64" s="41"/>
    </row>
    <row r="65" spans="1:48">
      <c r="A65" s="534" t="s">
        <v>728</v>
      </c>
      <c r="B65" s="54" t="e">
        <f>MATCH(A65,Вентиляторы!B$6:B$1864,0)</f>
        <v>#N/A</v>
      </c>
      <c r="C65" s="55" t="e">
        <f ca="1">OFFSET(Вентиляторы!#REF!,B65-1,0)</f>
        <v>#REF!</v>
      </c>
      <c r="D65" s="55" t="e">
        <f t="shared" ca="1" si="11"/>
        <v>#REF!</v>
      </c>
      <c r="E65" s="502" t="e">
        <f ca="1">OFFSET(Вентиляторы!#REF!,B65-1,0)</f>
        <v>#REF!</v>
      </c>
      <c r="F65" s="503" t="s">
        <v>591</v>
      </c>
      <c r="G65" s="56" t="e">
        <f t="shared" si="12"/>
        <v>#REF!</v>
      </c>
      <c r="H65" s="56" t="e">
        <f ca="1">($G65/OFFSET(ПП_Свод!T$3,MATCH(M65,ПП_Свод!B$4:B$213,0),0)-1) &gt; -Задача_Допуск/100</f>
        <v>#REF!</v>
      </c>
      <c r="I65" s="56" t="str">
        <f t="shared" si="9"/>
        <v>600x350=ЛОЖЬ</v>
      </c>
      <c r="J65" s="57" t="e">
        <f t="shared" ca="1" si="3"/>
        <v>#N/A</v>
      </c>
      <c r="K65" s="148">
        <v>600</v>
      </c>
      <c r="L65" s="148">
        <v>350</v>
      </c>
      <c r="M65" s="54" t="str">
        <f t="shared" si="13"/>
        <v>600x350</v>
      </c>
      <c r="N65" s="148">
        <v>700</v>
      </c>
      <c r="O65" s="148">
        <v>29</v>
      </c>
      <c r="P65" s="148" t="s">
        <v>43</v>
      </c>
      <c r="Q65" s="148">
        <v>0.43</v>
      </c>
      <c r="R65" s="148">
        <v>0.83</v>
      </c>
      <c r="S65" s="103" t="s">
        <v>459</v>
      </c>
      <c r="T65" s="103" t="b">
        <v>0</v>
      </c>
      <c r="U65" s="103" t="b">
        <v>0</v>
      </c>
      <c r="V65" s="100" t="s">
        <v>170</v>
      </c>
      <c r="W65" s="100" t="s">
        <v>10</v>
      </c>
      <c r="X65" s="140" t="s">
        <v>228</v>
      </c>
      <c r="Y65" s="100" t="s">
        <v>31</v>
      </c>
      <c r="Z65" s="58">
        <v>0</v>
      </c>
      <c r="AA65" s="59">
        <v>500</v>
      </c>
      <c r="AB65" s="59">
        <v>900</v>
      </c>
      <c r="AC65" s="59">
        <v>1500</v>
      </c>
      <c r="AD65" s="59">
        <v>2000</v>
      </c>
      <c r="AE65" s="59">
        <v>2500</v>
      </c>
      <c r="AF65" s="60">
        <v>3300</v>
      </c>
      <c r="AG65" s="58">
        <v>485</v>
      </c>
      <c r="AH65" s="59">
        <v>445</v>
      </c>
      <c r="AI65" s="59">
        <v>410</v>
      </c>
      <c r="AJ65" s="59">
        <v>330</v>
      </c>
      <c r="AK65" s="59">
        <v>275</v>
      </c>
      <c r="AL65" s="59">
        <v>175</v>
      </c>
      <c r="AM65" s="60">
        <v>0</v>
      </c>
      <c r="AN65" s="61">
        <f>INDEX(LINEST($AG65:$AM65,$Z65:$AF65^Данные!$A$106:$A$110),1,6)</f>
        <v>484.50510185676137</v>
      </c>
      <c r="AO65" s="74">
        <f>INDEX(LINEST($AG65:$AM65,$Z65:$AF65^Данные!$A$106:$A$110),1,5)</f>
        <v>-1.6323990670056261E-2</v>
      </c>
      <c r="AP65" s="74">
        <f>INDEX(LINEST($AG65:$AM65,$Z65:$AF65^Данные!$A$106:$A$110),1,4)</f>
        <v>-1.7023461250906163E-4</v>
      </c>
      <c r="AQ65" s="74">
        <f>INDEX(LINEST($AG65:$AM65,$Z65:$AF65^Данные!$A$106:$A$110),1,3)</f>
        <v>1.4034742728450502E-7</v>
      </c>
      <c r="AR65" s="74">
        <f>INDEX(LINEST($AG65:$AM65,$Z65:$AF65^Данные!$A$106:$A$110),1,2)</f>
        <v>-5.2005461614161378E-11</v>
      </c>
      <c r="AS65" s="74">
        <f>INDEX(LINEST($AG65:$AM65,$Z65:$AF65^Данные!$A$106:$A$110),1,1)</f>
        <v>6.5078115686889243E-15</v>
      </c>
      <c r="AT65" s="75">
        <v>0</v>
      </c>
      <c r="AU65" s="54" t="str">
        <f>Производитель_Европа</f>
        <v>Евросоюз</v>
      </c>
      <c r="AV65" s="41"/>
    </row>
    <row r="66" spans="1:48">
      <c r="A66" s="534" t="s">
        <v>729</v>
      </c>
      <c r="B66" s="54" t="e">
        <f>MATCH(A66,Вентиляторы!B$6:B$1864,0)</f>
        <v>#N/A</v>
      </c>
      <c r="C66" s="55" t="e">
        <f ca="1">OFFSET(Вентиляторы!#REF!,B66-1,0)</f>
        <v>#REF!</v>
      </c>
      <c r="D66" s="55" t="e">
        <f ca="1">MID(C66,SEARCH("LV-",C66,1),IFERROR(SEARCH("(",C66,1),LEN(C66)+2)-SEARCH("LV-",C66,1)-1)</f>
        <v>#REF!</v>
      </c>
      <c r="E66" s="502" t="e">
        <f ca="1">OFFSET(Вентиляторы!#REF!,B66-1,0)</f>
        <v>#REF!</v>
      </c>
      <c r="F66" s="503" t="s">
        <v>591</v>
      </c>
      <c r="G66" s="56" t="e">
        <f>AN66+Задача_Расход*(AO66+Задача_Расход*(AP66+Задача_Расход*(AQ66+Задача_Расход*(AR66+Задача_Расход*(AS66+Задача_Расход*AT66)))))</f>
        <v>#REF!</v>
      </c>
      <c r="H66" s="56" t="e">
        <f ca="1">($G66/OFFSET(ПП_Свод!T$3,MATCH(M66,ПП_Свод!B$4:B$213,0),0)-1) &gt; -Задача_Допуск/100</f>
        <v>#REF!</v>
      </c>
      <c r="I66" s="56" t="str">
        <f t="shared" si="9"/>
        <v>600x350=ЛОЖЬ</v>
      </c>
      <c r="J66" s="57" t="e">
        <f t="shared" ca="1" si="3"/>
        <v>#N/A</v>
      </c>
      <c r="K66" s="148">
        <v>600</v>
      </c>
      <c r="L66" s="148">
        <v>350</v>
      </c>
      <c r="M66" s="54" t="str">
        <f>IF(L66&gt;0,IF(K66&gt;0,CONCATENATE(K66,"x",L66),L66),CONCATENATE("Ø",K66))</f>
        <v>600x350</v>
      </c>
      <c r="N66" s="148">
        <v>500</v>
      </c>
      <c r="O66" s="148">
        <v>45</v>
      </c>
      <c r="P66" s="148" t="s">
        <v>43</v>
      </c>
      <c r="Q66" s="148">
        <v>1.1000000000000001</v>
      </c>
      <c r="R66" s="148">
        <v>2.6</v>
      </c>
      <c r="S66" s="103" t="s">
        <v>459</v>
      </c>
      <c r="T66" s="103" t="b">
        <v>0</v>
      </c>
      <c r="U66" s="103" t="b">
        <v>0</v>
      </c>
      <c r="V66" s="100" t="s">
        <v>170</v>
      </c>
      <c r="W66" s="100" t="s">
        <v>170</v>
      </c>
      <c r="X66" s="140" t="s">
        <v>230</v>
      </c>
      <c r="Y66" s="100" t="s">
        <v>31</v>
      </c>
      <c r="Z66" s="58">
        <v>0</v>
      </c>
      <c r="AA66" s="59">
        <v>500</v>
      </c>
      <c r="AB66" s="59">
        <v>1000</v>
      </c>
      <c r="AC66" s="59">
        <v>2000</v>
      </c>
      <c r="AD66" s="59">
        <v>3000</v>
      </c>
      <c r="AE66" s="59">
        <v>4000</v>
      </c>
      <c r="AF66" s="60">
        <v>4500</v>
      </c>
      <c r="AG66" s="58">
        <v>1120</v>
      </c>
      <c r="AH66" s="59">
        <v>1080</v>
      </c>
      <c r="AI66" s="59">
        <v>1060</v>
      </c>
      <c r="AJ66" s="59">
        <v>960</v>
      </c>
      <c r="AK66" s="59">
        <v>770</v>
      </c>
      <c r="AL66" s="59">
        <v>370</v>
      </c>
      <c r="AM66" s="60">
        <v>40</v>
      </c>
      <c r="AN66" s="61">
        <f>INDEX(LINEST($AG66:$AM66,$Z66:$AF66^Данные!$A$106:$A$110),1,6)</f>
        <v>1119.0367456706967</v>
      </c>
      <c r="AO66" s="74">
        <f>INDEX(LINEST($AG66:$AM66,$Z66:$AF66^Данные!$A$106:$A$110),1,5)</f>
        <v>-8.9159302452225447E-2</v>
      </c>
      <c r="AP66" s="74">
        <f>INDEX(LINEST($AG66:$AM66,$Z66:$AF66^Данные!$A$106:$A$110),1,4)</f>
        <v>5.3722070022872746E-5</v>
      </c>
      <c r="AQ66" s="74">
        <f>INDEX(LINEST($AG66:$AM66,$Z66:$AF66^Данные!$A$106:$A$110),1,3)</f>
        <v>-3.4621840467154803E-8</v>
      </c>
      <c r="AR66" s="74">
        <f>INDEX(LINEST($AG66:$AM66,$Z66:$AF66^Данные!$A$106:$A$110),1,2)</f>
        <v>6.8346444818660706E-12</v>
      </c>
      <c r="AS66" s="74">
        <f>INDEX(LINEST($AG66:$AM66,$Z66:$AF66^Данные!$A$106:$A$110),1,1)</f>
        <v>-7.6619666390195691E-16</v>
      </c>
      <c r="AT66" s="75">
        <v>0</v>
      </c>
      <c r="AU66" s="54" t="str">
        <f>Производитель_Россия</f>
        <v>Россия</v>
      </c>
      <c r="AV66" s="41"/>
    </row>
    <row r="67" spans="1:48">
      <c r="A67" s="534" t="s">
        <v>730</v>
      </c>
      <c r="B67" s="54" t="e">
        <f>MATCH(A67,Вентиляторы!B$6:B$1864,0)</f>
        <v>#N/A</v>
      </c>
      <c r="C67" s="55" t="e">
        <f ca="1">OFFSET(Вентиляторы!#REF!,B67-1,0)</f>
        <v>#REF!</v>
      </c>
      <c r="D67" s="55" t="e">
        <f t="shared" ca="1" si="11"/>
        <v>#REF!</v>
      </c>
      <c r="E67" s="502" t="e">
        <f ca="1">OFFSET(Вентиляторы!#REF!,B67-1,0)</f>
        <v>#REF!</v>
      </c>
      <c r="F67" s="503" t="s">
        <v>591</v>
      </c>
      <c r="G67" s="56" t="e">
        <f t="shared" si="12"/>
        <v>#REF!</v>
      </c>
      <c r="H67" s="56" t="e">
        <f ca="1">($G67/OFFSET(ПП_Свод!T$3,MATCH(M67,ПП_Свод!B$4:B$213,0),0)-1) &gt; -Задача_Допуск/100</f>
        <v>#REF!</v>
      </c>
      <c r="I67" s="56" t="str">
        <f t="shared" ref="I67:I98" si="14">CONCATENATE($M67,"=",IFERROR(AND($S67=Задача_ТипКод,OR(Задача_ПроизводительЛюбой,Задача_ПроизводительТекст=AU67),OR(NOT(Задача_ВентиляторШумоизоляция),T67=Задача_ВентиляторШумоизоляция),OR(NOT(Задача_ВентиляторEC),U67=Задача_ВентиляторEC),Задача_Расход&gt;=Z67, Задача_Расход&lt;=AF67, H67),FALSE))</f>
        <v>600x350=ЛОЖЬ</v>
      </c>
      <c r="J67" s="57" t="e">
        <f t="shared" ref="J67:J118" ca="1" si="15">IFERROR(J66+0,0)+IF(AND(M67=Расчет_РезультатТипоразмер,I67=CONCATENATE(M67,"=ИСТИНА")),1,0)</f>
        <v>#N/A</v>
      </c>
      <c r="K67" s="148">
        <v>600</v>
      </c>
      <c r="L67" s="148">
        <v>350</v>
      </c>
      <c r="M67" s="54" t="str">
        <f t="shared" si="13"/>
        <v>600x350</v>
      </c>
      <c r="N67" s="148">
        <v>700</v>
      </c>
      <c r="O67" s="148">
        <v>24</v>
      </c>
      <c r="P67" s="148" t="s">
        <v>43</v>
      </c>
      <c r="Q67" s="148">
        <v>0.9</v>
      </c>
      <c r="R67" s="148">
        <v>1.8</v>
      </c>
      <c r="S67" s="103" t="s">
        <v>459</v>
      </c>
      <c r="T67" s="103" t="b">
        <v>0</v>
      </c>
      <c r="U67" s="103" t="b">
        <v>0</v>
      </c>
      <c r="V67" s="100" t="s">
        <v>170</v>
      </c>
      <c r="W67" s="100" t="s">
        <v>11</v>
      </c>
      <c r="X67" s="140" t="s">
        <v>230</v>
      </c>
      <c r="Y67" s="100" t="s">
        <v>31</v>
      </c>
      <c r="Z67" s="58">
        <v>0</v>
      </c>
      <c r="AA67" s="59">
        <v>500</v>
      </c>
      <c r="AB67" s="59">
        <v>1000</v>
      </c>
      <c r="AC67" s="59">
        <v>1500</v>
      </c>
      <c r="AD67" s="59">
        <v>2000</v>
      </c>
      <c r="AE67" s="59">
        <v>2500</v>
      </c>
      <c r="AF67" s="60">
        <v>3230</v>
      </c>
      <c r="AG67" s="58">
        <v>315</v>
      </c>
      <c r="AH67" s="59">
        <v>295</v>
      </c>
      <c r="AI67" s="59">
        <v>285</v>
      </c>
      <c r="AJ67" s="59">
        <v>280</v>
      </c>
      <c r="AK67" s="59">
        <v>245</v>
      </c>
      <c r="AL67" s="59">
        <v>170</v>
      </c>
      <c r="AM67" s="60">
        <v>0</v>
      </c>
      <c r="AN67" s="61">
        <f>INDEX(LINEST($AG67:$AM67,$Z67:$AF67^Данные!$A$106:$A$110),1,6)</f>
        <v>315.0828811578408</v>
      </c>
      <c r="AO67" s="74">
        <f>INDEX(LINEST($AG67:$AM67,$Z67:$AF67^Данные!$A$106:$A$110),1,5)</f>
        <v>-4.6803134484174204E-2</v>
      </c>
      <c r="AP67" s="74">
        <f>INDEX(LINEST($AG67:$AM67,$Z67:$AF67^Данные!$A$106:$A$110),1,4)</f>
        <v>-8.7353752445969039E-6</v>
      </c>
      <c r="AQ67" s="74">
        <f>INDEX(LINEST($AG67:$AM67,$Z67:$AF67^Данные!$A$106:$A$110),1,3)</f>
        <v>5.6096650825217002E-8</v>
      </c>
      <c r="AR67" s="74">
        <f>INDEX(LINEST($AG67:$AM67,$Z67:$AF67^Данные!$A$106:$A$110),1,2)</f>
        <v>-3.4554837489884586E-11</v>
      </c>
      <c r="AS67" s="74">
        <f>INDEX(LINEST($AG67:$AM67,$Z67:$AF67^Данные!$A$106:$A$110),1,1)</f>
        <v>5.1142911989395433E-15</v>
      </c>
      <c r="AT67" s="75">
        <v>0</v>
      </c>
      <c r="AU67" s="54" t="str">
        <f>Производитель_Европа</f>
        <v>Евросоюз</v>
      </c>
      <c r="AV67" s="41"/>
    </row>
    <row r="68" spans="1:48">
      <c r="A68" s="534" t="s">
        <v>731</v>
      </c>
      <c r="B68" s="54" t="e">
        <f>MATCH(A68,Вентиляторы!B$6:B$1864,0)</f>
        <v>#N/A</v>
      </c>
      <c r="C68" s="55" t="e">
        <f ca="1">OFFSET(Вентиляторы!#REF!,B68-1,0)</f>
        <v>#REF!</v>
      </c>
      <c r="D68" s="55" t="e">
        <f ca="1">MID(C68,SEARCH("LV-",C68,1),IFERROR(SEARCH("(",C68,1),LEN(C68)+2)-SEARCH("LV-",C68,1)-1)</f>
        <v>#REF!</v>
      </c>
      <c r="E68" s="502" t="e">
        <f ca="1">OFFSET(Вентиляторы!#REF!,B68-1,0)</f>
        <v>#REF!</v>
      </c>
      <c r="F68" s="503" t="s">
        <v>591</v>
      </c>
      <c r="G68" s="56" t="e">
        <f>AN68+Задача_Расход*(AO68+Задача_Расход*(AP68+Задача_Расход*(AQ68+Задача_Расход*(AR68+Задача_Расход*(AS68+Задача_Расход*AT68)))))</f>
        <v>#REF!</v>
      </c>
      <c r="H68" s="56" t="e">
        <f ca="1">($G68/OFFSET(ПП_Свод!T$3,MATCH(M68,ПП_Свод!B$4:B$213,0),0)-1) &gt; -Задача_Допуск/100</f>
        <v>#REF!</v>
      </c>
      <c r="I68" s="56" t="str">
        <f t="shared" si="14"/>
        <v>600x350=ЛОЖЬ</v>
      </c>
      <c r="J68" s="57" t="e">
        <f t="shared" ca="1" si="15"/>
        <v>#N/A</v>
      </c>
      <c r="K68" s="148">
        <v>600</v>
      </c>
      <c r="L68" s="148">
        <v>350</v>
      </c>
      <c r="M68" s="54" t="str">
        <f>IF(L68&gt;0,IF(K68&gt;0,CONCATENATE(K68,"x",L68),L68),CONCATENATE("Ø",K68))</f>
        <v>600x350</v>
      </c>
      <c r="N68" s="148">
        <v>700</v>
      </c>
      <c r="O68" s="148">
        <v>37</v>
      </c>
      <c r="P68" s="148" t="s">
        <v>43</v>
      </c>
      <c r="Q68" s="148">
        <v>2.5</v>
      </c>
      <c r="R68" s="148">
        <v>4.0999999999999996</v>
      </c>
      <c r="S68" s="103" t="s">
        <v>459</v>
      </c>
      <c r="T68" s="103" t="b">
        <v>0</v>
      </c>
      <c r="U68" s="103" t="b">
        <v>0</v>
      </c>
      <c r="V68" s="100" t="s">
        <v>170</v>
      </c>
      <c r="W68" s="100" t="s">
        <v>14</v>
      </c>
      <c r="X68" s="140" t="s">
        <v>233</v>
      </c>
      <c r="Y68" s="100" t="s">
        <v>31</v>
      </c>
      <c r="Z68" s="58">
        <v>0</v>
      </c>
      <c r="AA68" s="59">
        <v>1000</v>
      </c>
      <c r="AB68" s="59">
        <v>1500</v>
      </c>
      <c r="AC68" s="59">
        <v>2000</v>
      </c>
      <c r="AD68" s="59">
        <v>2700</v>
      </c>
      <c r="AE68" s="59">
        <v>3500</v>
      </c>
      <c r="AF68" s="60">
        <v>4550</v>
      </c>
      <c r="AG68" s="58">
        <v>600</v>
      </c>
      <c r="AH68" s="59">
        <v>620</v>
      </c>
      <c r="AI68" s="59">
        <v>630</v>
      </c>
      <c r="AJ68" s="59">
        <v>615</v>
      </c>
      <c r="AK68" s="59">
        <v>550</v>
      </c>
      <c r="AL68" s="59">
        <v>360</v>
      </c>
      <c r="AM68" s="60">
        <v>0</v>
      </c>
      <c r="AN68" s="61">
        <f>INDEX(LINEST($AG68:$AM68,$Z68:$AF68^Данные!$A$106:$A$110),1,6)</f>
        <v>599.94379783828083</v>
      </c>
      <c r="AO68" s="74">
        <f>INDEX(LINEST($AG68:$AM68,$Z68:$AF68^Данные!$A$106:$A$110),1,5)</f>
        <v>2.640520938468437E-2</v>
      </c>
      <c r="AP68" s="74">
        <f>INDEX(LINEST($AG68:$AM68,$Z68:$AF68^Данные!$A$106:$A$110),1,4)</f>
        <v>-1.9883377670422736E-5</v>
      </c>
      <c r="AQ68" s="74">
        <f>INDEX(LINEST($AG68:$AM68,$Z68:$AF68^Данные!$A$106:$A$110),1,3)</f>
        <v>2.6511328609161539E-8</v>
      </c>
      <c r="AR68" s="74">
        <f>INDEX(LINEST($AG68:$AM68,$Z68:$AF68^Данные!$A$106:$A$110),1,2)</f>
        <v>-1.3556654143915757E-11</v>
      </c>
      <c r="AS68" s="74">
        <f>INDEX(LINEST($AG68:$AM68,$Z68:$AF68^Данные!$A$106:$A$110),1,1)</f>
        <v>1.5407110404524184E-15</v>
      </c>
      <c r="AT68" s="75">
        <v>0</v>
      </c>
      <c r="AU68" s="54" t="str">
        <f>Производитель_Европа</f>
        <v>Евросоюз</v>
      </c>
      <c r="AV68" s="41"/>
    </row>
    <row r="69" spans="1:48">
      <c r="A69" s="534" t="s">
        <v>732</v>
      </c>
      <c r="B69" s="54" t="e">
        <f>MATCH(A69,Вентиляторы!B$6:B$1864,0)</f>
        <v>#N/A</v>
      </c>
      <c r="C69" s="55" t="e">
        <f ca="1">OFFSET(Вентиляторы!#REF!,B69-1,0)</f>
        <v>#REF!</v>
      </c>
      <c r="D69" s="55" t="e">
        <f t="shared" ca="1" si="11"/>
        <v>#REF!</v>
      </c>
      <c r="E69" s="502" t="e">
        <f ca="1">OFFSET(Вентиляторы!#REF!,B69-1,0)</f>
        <v>#REF!</v>
      </c>
      <c r="F69" s="503" t="s">
        <v>591</v>
      </c>
      <c r="G69" s="56" t="e">
        <f t="shared" ref="G69:G98" si="16">AN69+Задача_Расход*(AO69+Задача_Расход*(AP69+Задача_Расход*(AQ69+Задача_Расход*(AR69+Задача_Расход*(AS69+Задача_Расход*AT69)))))</f>
        <v>#REF!</v>
      </c>
      <c r="H69" s="56" t="e">
        <f ca="1">($G69/OFFSET(ПП_Свод!T$3,MATCH(M69,ПП_Свод!B$4:B$213,0),0)-1) &gt; -Задача_Допуск/100</f>
        <v>#REF!</v>
      </c>
      <c r="I69" s="56" t="str">
        <f t="shared" si="14"/>
        <v>600x350=ЛОЖЬ</v>
      </c>
      <c r="J69" s="57" t="e">
        <f t="shared" ca="1" si="15"/>
        <v>#N/A</v>
      </c>
      <c r="K69" s="148">
        <v>600</v>
      </c>
      <c r="L69" s="148">
        <v>350</v>
      </c>
      <c r="M69" s="54" t="str">
        <f t="shared" si="13"/>
        <v>600x350</v>
      </c>
      <c r="N69" s="148">
        <v>700</v>
      </c>
      <c r="O69" s="148">
        <v>42</v>
      </c>
      <c r="P69" s="148" t="s">
        <v>123</v>
      </c>
      <c r="Q69" s="148">
        <v>2.4</v>
      </c>
      <c r="R69" s="148">
        <v>11</v>
      </c>
      <c r="S69" s="103" t="s">
        <v>459</v>
      </c>
      <c r="T69" s="103" t="b">
        <v>0</v>
      </c>
      <c r="U69" s="103" t="b">
        <v>0</v>
      </c>
      <c r="V69" s="100" t="s">
        <v>170</v>
      </c>
      <c r="W69" s="100" t="s">
        <v>8</v>
      </c>
      <c r="X69" s="140" t="s">
        <v>170</v>
      </c>
      <c r="Y69" s="100" t="s">
        <v>31</v>
      </c>
      <c r="Z69" s="58">
        <v>0</v>
      </c>
      <c r="AA69" s="59">
        <v>500</v>
      </c>
      <c r="AB69" s="59">
        <v>1000</v>
      </c>
      <c r="AC69" s="59">
        <v>1550</v>
      </c>
      <c r="AD69" s="59">
        <v>2500</v>
      </c>
      <c r="AE69" s="59">
        <v>3500</v>
      </c>
      <c r="AF69" s="60">
        <v>4120</v>
      </c>
      <c r="AG69" s="58">
        <v>570</v>
      </c>
      <c r="AH69" s="59">
        <v>575</v>
      </c>
      <c r="AI69" s="59">
        <v>590</v>
      </c>
      <c r="AJ69" s="59">
        <v>602</v>
      </c>
      <c r="AK69" s="59">
        <v>530</v>
      </c>
      <c r="AL69" s="59">
        <v>280</v>
      </c>
      <c r="AM69" s="60">
        <v>0</v>
      </c>
      <c r="AN69" s="61">
        <f>INDEX(LINEST($AG69:$AM69,$Z69:$AF69^Данные!$A$106:$A$110),1,6)</f>
        <v>570.23137361607212</v>
      </c>
      <c r="AO69" s="74">
        <f>INDEX(LINEST($AG69:$AM69,$Z69:$AF69^Данные!$A$106:$A$110),1,5)</f>
        <v>-2.7979958630814161E-2</v>
      </c>
      <c r="AP69" s="74">
        <f>INDEX(LINEST($AG69:$AM69,$Z69:$AF69^Данные!$A$106:$A$110),1,4)</f>
        <v>9.4966723950648803E-5</v>
      </c>
      <c r="AQ69" s="74">
        <f>INDEX(LINEST($AG69:$AM69,$Z69:$AF69^Данные!$A$106:$A$110),1,3)</f>
        <v>-5.2997007123841518E-8</v>
      </c>
      <c r="AR69" s="74">
        <f>INDEX(LINEST($AG69:$AM69,$Z69:$AF69^Данные!$A$106:$A$110),1,2)</f>
        <v>8.4604468220706329E-12</v>
      </c>
      <c r="AS69" s="74">
        <f>INDEX(LINEST($AG69:$AM69,$Z69:$AF69^Данные!$A$106:$A$110),1,1)</f>
        <v>-6.7247541236898635E-16</v>
      </c>
      <c r="AT69" s="75">
        <v>0</v>
      </c>
      <c r="AU69" s="54" t="str">
        <f>Производитель_Европа</f>
        <v>Евросоюз</v>
      </c>
      <c r="AV69" s="41"/>
    </row>
    <row r="70" spans="1:48">
      <c r="A70" s="534" t="s">
        <v>733</v>
      </c>
      <c r="B70" s="54" t="e">
        <f>MATCH(A70,Вентиляторы!B$6:B$1864,0)</f>
        <v>#N/A</v>
      </c>
      <c r="C70" s="55" t="e">
        <f ca="1">OFFSET(Вентиляторы!#REF!,B70-1,0)</f>
        <v>#REF!</v>
      </c>
      <c r="D70" s="55" t="e">
        <f ca="1">MID(C70,SEARCH("LV-",C70,1),IFERROR(SEARCH("(",C70,1),LEN(C70)+2)-SEARCH("LV-",C70,1)-1)</f>
        <v>#REF!</v>
      </c>
      <c r="E70" s="502" t="e">
        <f ca="1">OFFSET(Вентиляторы!#REF!,B70-1,0)</f>
        <v>#REF!</v>
      </c>
      <c r="F70" s="503" t="s">
        <v>591</v>
      </c>
      <c r="G70" s="56" t="e">
        <f>AN70+Задача_Расход*(AO70+Задача_Расход*(AP70+Задача_Расход*(AQ70+Задача_Расход*(AR70+Задача_Расход*(AS70+Задача_Расход*AT70)))))</f>
        <v>#REF!</v>
      </c>
      <c r="H70" s="56" t="e">
        <f ca="1">($G70/OFFSET(ПП_Свод!T$3,MATCH(M70,ПП_Свод!B$4:B$213,0),0)-1) &gt; -Задача_Допуск/100</f>
        <v>#REF!</v>
      </c>
      <c r="I70" s="56" t="str">
        <f t="shared" si="14"/>
        <v>600x350=ЛОЖЬ</v>
      </c>
      <c r="J70" s="57" t="e">
        <f t="shared" ca="1" si="15"/>
        <v>#N/A</v>
      </c>
      <c r="K70" s="148">
        <v>600</v>
      </c>
      <c r="L70" s="148">
        <v>350</v>
      </c>
      <c r="M70" s="54" t="str">
        <f>IF(L70&gt;0,IF(K70&gt;0,CONCATENATE(K70,"x",L70),L70),CONCATENATE("Ø",K70))</f>
        <v>600x350</v>
      </c>
      <c r="N70" s="148">
        <v>700</v>
      </c>
      <c r="O70" s="148">
        <v>58</v>
      </c>
      <c r="P70" s="148" t="s">
        <v>43</v>
      </c>
      <c r="Q70" s="148">
        <v>2.3530000000000002</v>
      </c>
      <c r="R70" s="148">
        <v>4.03</v>
      </c>
      <c r="S70" s="103" t="s">
        <v>459</v>
      </c>
      <c r="T70" s="103" t="b">
        <v>1</v>
      </c>
      <c r="U70" s="103" t="b">
        <v>0</v>
      </c>
      <c r="V70" s="100" t="s">
        <v>170</v>
      </c>
      <c r="W70" s="100" t="s">
        <v>14</v>
      </c>
      <c r="X70" s="140" t="s">
        <v>233</v>
      </c>
      <c r="Y70" s="100" t="s">
        <v>31</v>
      </c>
      <c r="Z70" s="58">
        <v>0</v>
      </c>
      <c r="AA70" s="59">
        <v>1000</v>
      </c>
      <c r="AB70" s="59">
        <v>1500</v>
      </c>
      <c r="AC70" s="59">
        <v>2000</v>
      </c>
      <c r="AD70" s="59">
        <v>2500</v>
      </c>
      <c r="AE70" s="59">
        <v>3500</v>
      </c>
      <c r="AF70" s="60">
        <v>4550</v>
      </c>
      <c r="AG70" s="58">
        <v>600</v>
      </c>
      <c r="AH70" s="59">
        <v>625</v>
      </c>
      <c r="AI70" s="59">
        <v>633</v>
      </c>
      <c r="AJ70" s="59">
        <v>610</v>
      </c>
      <c r="AK70" s="59">
        <v>573</v>
      </c>
      <c r="AL70" s="59">
        <v>340</v>
      </c>
      <c r="AM70" s="60">
        <v>0</v>
      </c>
      <c r="AN70" s="61">
        <f>INDEX(LINEST($AG70:$AM70,$Z70:$AF70^Данные!$A$106:$A$110),1,6)</f>
        <v>599.91522267776645</v>
      </c>
      <c r="AO70" s="74">
        <f>INDEX(LINEST($AG70:$AM70,$Z70:$AF70^Данные!$A$106:$A$110),1,5)</f>
        <v>6.4247356893942911E-2</v>
      </c>
      <c r="AP70" s="74">
        <f>INDEX(LINEST($AG70:$AM70,$Z70:$AF70^Данные!$A$106:$A$110),1,4)</f>
        <v>-7.6998258619972751E-5</v>
      </c>
      <c r="AQ70" s="74">
        <f>INDEX(LINEST($AG70:$AM70,$Z70:$AF70^Данные!$A$106:$A$110),1,3)</f>
        <v>5.9067347487503616E-8</v>
      </c>
      <c r="AR70" s="74">
        <f>INDEX(LINEST($AG70:$AM70,$Z70:$AF70^Данные!$A$106:$A$110),1,2)</f>
        <v>-2.206707721509752E-11</v>
      </c>
      <c r="AS70" s="74">
        <f>INDEX(LINEST($AG70:$AM70,$Z70:$AF70^Данные!$A$106:$A$110),1,1)</f>
        <v>2.3566243888823391E-15</v>
      </c>
      <c r="AT70" s="75">
        <v>0</v>
      </c>
      <c r="AU70" s="54" t="str">
        <f>Производитель_Европа</f>
        <v>Евросоюз</v>
      </c>
      <c r="AV70" s="41"/>
    </row>
    <row r="71" spans="1:48">
      <c r="A71" s="534" t="s">
        <v>734</v>
      </c>
      <c r="B71" s="54" t="e">
        <f>MATCH(A71,Вентиляторы!B$6:B$1864,0)</f>
        <v>#N/A</v>
      </c>
      <c r="C71" s="55" t="e">
        <f ca="1">OFFSET(Вентиляторы!#REF!,B71-1,0)</f>
        <v>#REF!</v>
      </c>
      <c r="D71" s="55" t="e">
        <f t="shared" ca="1" si="11"/>
        <v>#REF!</v>
      </c>
      <c r="E71" s="502" t="e">
        <f ca="1">OFFSET(Вентиляторы!#REF!,B71-1,0)</f>
        <v>#REF!</v>
      </c>
      <c r="F71" s="503" t="s">
        <v>591</v>
      </c>
      <c r="G71" s="56" t="e">
        <f t="shared" si="16"/>
        <v>#REF!</v>
      </c>
      <c r="H71" s="56" t="e">
        <f ca="1">($G71/OFFSET(ПП_Свод!T$3,MATCH(M71,ПП_Свод!B$4:B$213,0),0)-1) &gt; -Задача_Допуск/100</f>
        <v>#REF!</v>
      </c>
      <c r="I71" s="56" t="str">
        <f t="shared" si="14"/>
        <v>600x350=ЛОЖЬ</v>
      </c>
      <c r="J71" s="57" t="e">
        <f t="shared" ca="1" si="15"/>
        <v>#N/A</v>
      </c>
      <c r="K71" s="148">
        <v>600</v>
      </c>
      <c r="L71" s="148">
        <v>350</v>
      </c>
      <c r="M71" s="54" t="str">
        <f t="shared" ref="M71:M98" si="17">IF(L71&gt;0,IF(K71&gt;0,CONCATENATE(K71,"x",L71),L71),CONCATENATE("Ø",K71))</f>
        <v>600x350</v>
      </c>
      <c r="N71" s="148">
        <v>700</v>
      </c>
      <c r="O71" s="148">
        <v>58</v>
      </c>
      <c r="P71" s="148" t="s">
        <v>123</v>
      </c>
      <c r="Q71" s="148">
        <v>2.2490000000000001</v>
      </c>
      <c r="R71" s="148">
        <v>10.3</v>
      </c>
      <c r="S71" s="103" t="s">
        <v>459</v>
      </c>
      <c r="T71" s="103" t="b">
        <v>1</v>
      </c>
      <c r="U71" s="103" t="b">
        <v>0</v>
      </c>
      <c r="V71" s="100" t="s">
        <v>170</v>
      </c>
      <c r="W71" s="100" t="s">
        <v>8</v>
      </c>
      <c r="X71" s="140" t="s">
        <v>170</v>
      </c>
      <c r="Y71" s="100" t="s">
        <v>31</v>
      </c>
      <c r="Z71" s="58">
        <v>0</v>
      </c>
      <c r="AA71" s="59">
        <v>500</v>
      </c>
      <c r="AB71" s="59">
        <v>1750</v>
      </c>
      <c r="AC71" s="59">
        <v>2500</v>
      </c>
      <c r="AD71" s="59">
        <v>3450</v>
      </c>
      <c r="AE71" s="59">
        <v>3900</v>
      </c>
      <c r="AF71" s="60">
        <v>4110</v>
      </c>
      <c r="AG71" s="58">
        <v>570</v>
      </c>
      <c r="AH71" s="59">
        <v>575</v>
      </c>
      <c r="AI71" s="59">
        <v>605</v>
      </c>
      <c r="AJ71" s="59">
        <v>540</v>
      </c>
      <c r="AK71" s="59">
        <v>300</v>
      </c>
      <c r="AL71" s="59">
        <v>100</v>
      </c>
      <c r="AM71" s="60">
        <v>0</v>
      </c>
      <c r="AN71" s="61">
        <f>INDEX(LINEST($AG71:$AM71,$Z71:$AF71^Данные!$A$106:$A$110),1,6)</f>
        <v>569.86464557328952</v>
      </c>
      <c r="AO71" s="74">
        <f>INDEX(LINEST($AG71:$AM71,$Z71:$AF71^Данные!$A$106:$A$110),1,5)</f>
        <v>-1.5647008142938377E-2</v>
      </c>
      <c r="AP71" s="74">
        <f>INDEX(LINEST($AG71:$AM71,$Z71:$AF71^Данные!$A$106:$A$110),1,4)</f>
        <v>6.7117744741560835E-5</v>
      </c>
      <c r="AQ71" s="74">
        <f>INDEX(LINEST($AG71:$AM71,$Z71:$AF71^Данные!$A$106:$A$110),1,3)</f>
        <v>-2.779088566445353E-8</v>
      </c>
      <c r="AR71" s="74">
        <f>INDEX(LINEST($AG71:$AM71,$Z71:$AF71^Данные!$A$106:$A$110),1,2)</f>
        <v>1.3433559713974414E-13</v>
      </c>
      <c r="AS71" s="74">
        <f>INDEX(LINEST($AG71:$AM71,$Z71:$AF71^Данные!$A$106:$A$110),1,1)</f>
        <v>2.1290156520917178E-16</v>
      </c>
      <c r="AT71" s="75">
        <v>0</v>
      </c>
      <c r="AU71" s="54" t="str">
        <f>Производитель_Европа</f>
        <v>Евросоюз</v>
      </c>
      <c r="AV71" s="41"/>
    </row>
    <row r="72" spans="1:48">
      <c r="A72" s="536" t="s">
        <v>735</v>
      </c>
      <c r="B72" s="63">
        <f>MATCH(A72,Вентиляторы!B$6:B$1864,0)</f>
        <v>38</v>
      </c>
      <c r="C72" s="69" t="e">
        <f ca="1">OFFSET(Вентиляторы!#REF!,B72-1,0)</f>
        <v>#REF!</v>
      </c>
      <c r="D72" s="69" t="e">
        <f t="shared" ca="1" si="11"/>
        <v>#REF!</v>
      </c>
      <c r="E72" s="504" t="e">
        <f ca="1">OFFSET(Вентиляторы!#REF!,B72-1,0)</f>
        <v>#REF!</v>
      </c>
      <c r="F72" s="505" t="s">
        <v>591</v>
      </c>
      <c r="G72" s="70" t="e">
        <f t="shared" si="16"/>
        <v>#REF!</v>
      </c>
      <c r="H72" s="70" t="e">
        <f ca="1">($G72/OFFSET(ПП_Свод!T$3,MATCH(M72,ПП_Свод!B$4:B$213,0),0)-1) &gt; -Задача_Допуск/100</f>
        <v>#REF!</v>
      </c>
      <c r="I72" s="70" t="str">
        <f t="shared" si="14"/>
        <v>600x350=ЛОЖЬ</v>
      </c>
      <c r="J72" s="71" t="e">
        <f t="shared" ca="1" si="15"/>
        <v>#N/A</v>
      </c>
      <c r="K72" s="149">
        <v>600</v>
      </c>
      <c r="L72" s="149">
        <v>350</v>
      </c>
      <c r="M72" s="63" t="str">
        <f t="shared" si="17"/>
        <v>600x350</v>
      </c>
      <c r="N72" s="149">
        <v>600</v>
      </c>
      <c r="O72" s="149">
        <v>82</v>
      </c>
      <c r="P72" s="149" t="s">
        <v>43</v>
      </c>
      <c r="Q72" s="149">
        <v>1.1000000000000001</v>
      </c>
      <c r="R72" s="149">
        <v>2.6</v>
      </c>
      <c r="S72" s="95" t="s">
        <v>459</v>
      </c>
      <c r="T72" s="95" t="b">
        <v>1</v>
      </c>
      <c r="U72" s="95" t="b">
        <v>0</v>
      </c>
      <c r="V72" s="90" t="s">
        <v>170</v>
      </c>
      <c r="W72" s="90" t="s">
        <v>170</v>
      </c>
      <c r="X72" s="141" t="s">
        <v>230</v>
      </c>
      <c r="Y72" s="90" t="s">
        <v>31</v>
      </c>
      <c r="Z72" s="64">
        <v>0</v>
      </c>
      <c r="AA72" s="65">
        <v>400</v>
      </c>
      <c r="AB72" s="65">
        <v>1000</v>
      </c>
      <c r="AC72" s="65">
        <v>2000</v>
      </c>
      <c r="AD72" s="65">
        <v>3000</v>
      </c>
      <c r="AE72" s="65">
        <v>4000</v>
      </c>
      <c r="AF72" s="66">
        <v>4480</v>
      </c>
      <c r="AG72" s="64">
        <v>1120</v>
      </c>
      <c r="AH72" s="65">
        <v>1092</v>
      </c>
      <c r="AI72" s="65">
        <v>1060</v>
      </c>
      <c r="AJ72" s="65">
        <v>970</v>
      </c>
      <c r="AK72" s="65">
        <v>770</v>
      </c>
      <c r="AL72" s="65">
        <v>370</v>
      </c>
      <c r="AM72" s="66">
        <v>0</v>
      </c>
      <c r="AN72" s="67">
        <f>INDEX(LINEST($AG72:$AM72,$Z72:$AF72^Данные!$A$106:$A$110),1,6)</f>
        <v>1120.6412896945342</v>
      </c>
      <c r="AO72" s="137">
        <f>INDEX(LINEST($AG72:$AM72,$Z72:$AF72^Данные!$A$106:$A$110),1,5)</f>
        <v>-0.11143958604439722</v>
      </c>
      <c r="AP72" s="137">
        <f>INDEX(LINEST($AG72:$AM72,$Z72:$AF72^Данные!$A$106:$A$110),1,4)</f>
        <v>1.1862217396379173E-4</v>
      </c>
      <c r="AQ72" s="137">
        <f>INDEX(LINEST($AG72:$AM72,$Z72:$AF72^Данные!$A$106:$A$110),1,3)</f>
        <v>-8.5472416935847157E-8</v>
      </c>
      <c r="AR72" s="137">
        <f>INDEX(LINEST($AG72:$AM72,$Z72:$AF72^Данные!$A$106:$A$110),1,2)</f>
        <v>2.2213182689415835E-11</v>
      </c>
      <c r="AS72" s="137">
        <f>INDEX(LINEST($AG72:$AM72,$Z72:$AF72^Данные!$A$106:$A$110),1,1)</f>
        <v>-2.3631277877915557E-15</v>
      </c>
      <c r="AT72" s="138">
        <v>0</v>
      </c>
      <c r="AU72" s="63" t="str">
        <f>Производитель_Россия</f>
        <v>Россия</v>
      </c>
      <c r="AV72" s="41"/>
    </row>
    <row r="73" spans="1:48">
      <c r="A73" s="535" t="s">
        <v>736</v>
      </c>
      <c r="B73" s="44" t="e">
        <f>MATCH(A73,Вентиляторы!B$6:B$1864,0)</f>
        <v>#N/A</v>
      </c>
      <c r="C73" s="45" t="e">
        <f ca="1">OFFSET(Вентиляторы!#REF!,B73-1,0)</f>
        <v>#REF!</v>
      </c>
      <c r="D73" s="45" t="e">
        <f ca="1">MID(C73,SEARCH("LV-",C73,1),IFERROR(SEARCH("(",C73,1),LEN(C73)+2)-SEARCH("LV-",C73,1)-1)</f>
        <v>#REF!</v>
      </c>
      <c r="E73" s="486" t="e">
        <f ca="1">OFFSET(Вентиляторы!#REF!,B73-1,0)</f>
        <v>#REF!</v>
      </c>
      <c r="F73" s="501" t="s">
        <v>591</v>
      </c>
      <c r="G73" s="46" t="e">
        <f>AN73+Задача_Расход*(AO73+Задача_Расход*(AP73+Задача_Расход*(AQ73+Задача_Расход*(AR73+Задача_Расход*(AS73+Задача_Расход*AT73)))))</f>
        <v>#REF!</v>
      </c>
      <c r="H73" s="46" t="e">
        <f ca="1">($G73/OFFSET(ПП_Свод!T$3,MATCH(M73,ПП_Свод!B$4:B$213,0),0)-1) &gt; -Задача_Допуск/100</f>
        <v>#REF!</v>
      </c>
      <c r="I73" s="46" t="str">
        <f t="shared" si="14"/>
        <v>700x400=ЛОЖЬ</v>
      </c>
      <c r="J73" s="47" t="e">
        <f t="shared" ca="1" si="15"/>
        <v>#N/A</v>
      </c>
      <c r="K73" s="147">
        <v>700</v>
      </c>
      <c r="L73" s="147">
        <v>400</v>
      </c>
      <c r="M73" s="44" t="str">
        <f>IF(L73&gt;0,IF(K73&gt;0,CONCATENATE(K73,"x",L73),L73),CONCATENATE("Ø",K73))</f>
        <v>700x400</v>
      </c>
      <c r="N73" s="147">
        <v>600</v>
      </c>
      <c r="O73" s="147">
        <v>63</v>
      </c>
      <c r="P73" s="147" t="s">
        <v>43</v>
      </c>
      <c r="Q73" s="147">
        <v>2.2000000000000002</v>
      </c>
      <c r="R73" s="147">
        <v>4.9000000000000004</v>
      </c>
      <c r="S73" s="85" t="s">
        <v>459</v>
      </c>
      <c r="T73" s="85" t="b">
        <v>0</v>
      </c>
      <c r="U73" s="85" t="b">
        <v>0</v>
      </c>
      <c r="V73" s="80" t="s">
        <v>170</v>
      </c>
      <c r="W73" s="80" t="s">
        <v>170</v>
      </c>
      <c r="X73" s="139" t="s">
        <v>232</v>
      </c>
      <c r="Y73" s="80" t="s">
        <v>32</v>
      </c>
      <c r="Z73" s="48">
        <v>0</v>
      </c>
      <c r="AA73" s="49">
        <v>1000</v>
      </c>
      <c r="AB73" s="49">
        <v>2000</v>
      </c>
      <c r="AC73" s="49">
        <v>3800</v>
      </c>
      <c r="AD73" s="49">
        <v>5000</v>
      </c>
      <c r="AE73" s="49">
        <v>6000</v>
      </c>
      <c r="AF73" s="50">
        <v>6700</v>
      </c>
      <c r="AG73" s="48">
        <v>1440</v>
      </c>
      <c r="AH73" s="49">
        <v>1410</v>
      </c>
      <c r="AI73" s="49">
        <v>1380</v>
      </c>
      <c r="AJ73" s="49">
        <v>1200</v>
      </c>
      <c r="AK73" s="49">
        <v>900</v>
      </c>
      <c r="AL73" s="49">
        <v>480</v>
      </c>
      <c r="AM73" s="50">
        <v>40</v>
      </c>
      <c r="AN73" s="51">
        <f>INDEX(LINEST($AG73:$AM73,$Z73:$AF73^Данные!$A$106:$A$110),1,6)</f>
        <v>1440.1524086148277</v>
      </c>
      <c r="AO73" s="72">
        <f>INDEX(LINEST($AG73:$AM73,$Z73:$AF73^Данные!$A$106:$A$110),1,5)</f>
        <v>-5.4384682962682972E-2</v>
      </c>
      <c r="AP73" s="72">
        <f>INDEX(LINEST($AG73:$AM73,$Z73:$AF73^Данные!$A$106:$A$110),1,4)</f>
        <v>3.7574221262207249E-5</v>
      </c>
      <c r="AQ73" s="72">
        <f>INDEX(LINEST($AG73:$AM73,$Z73:$AF73^Данные!$A$106:$A$110),1,3)</f>
        <v>-1.5841474855735524E-8</v>
      </c>
      <c r="AR73" s="72">
        <f>INDEX(LINEST($AG73:$AM73,$Z73:$AF73^Данные!$A$106:$A$110),1,2)</f>
        <v>1.9028790398139169E-12</v>
      </c>
      <c r="AS73" s="72">
        <f>INDEX(LINEST($AG73:$AM73,$Z73:$AF73^Данные!$A$106:$A$110),1,1)</f>
        <v>-1.3273518367750883E-16</v>
      </c>
      <c r="AT73" s="73">
        <v>0</v>
      </c>
      <c r="AU73" s="44" t="str">
        <f>Производитель_Россия</f>
        <v>Россия</v>
      </c>
      <c r="AV73" s="41"/>
    </row>
    <row r="74" spans="1:48">
      <c r="A74" s="534" t="s">
        <v>737</v>
      </c>
      <c r="B74" s="54" t="e">
        <f>MATCH(A74,Вентиляторы!B$6:B$1864,0)</f>
        <v>#N/A</v>
      </c>
      <c r="C74" s="55" t="e">
        <f ca="1">OFFSET(Вентиляторы!#REF!,B74-1,0)</f>
        <v>#REF!</v>
      </c>
      <c r="D74" s="55" t="e">
        <f t="shared" ca="1" si="11"/>
        <v>#REF!</v>
      </c>
      <c r="E74" s="502" t="e">
        <f ca="1">OFFSET(Вентиляторы!#REF!,B74-1,0)</f>
        <v>#REF!</v>
      </c>
      <c r="F74" s="503" t="s">
        <v>591</v>
      </c>
      <c r="G74" s="56" t="e">
        <f t="shared" si="16"/>
        <v>#REF!</v>
      </c>
      <c r="H74" s="56" t="e">
        <f ca="1">($G74/OFFSET(ПП_Свод!T$3,MATCH(M74,ПП_Свод!B$4:B$213,0),0)-1) &gt; -Задача_Допуск/100</f>
        <v>#REF!</v>
      </c>
      <c r="I74" s="56" t="str">
        <f t="shared" si="14"/>
        <v>700x400=ЛОЖЬ</v>
      </c>
      <c r="J74" s="57" t="e">
        <f t="shared" ca="1" si="15"/>
        <v>#N/A</v>
      </c>
      <c r="K74" s="148">
        <v>700</v>
      </c>
      <c r="L74" s="148">
        <v>400</v>
      </c>
      <c r="M74" s="54" t="str">
        <f t="shared" si="17"/>
        <v>700x400</v>
      </c>
      <c r="N74" s="148">
        <v>780</v>
      </c>
      <c r="O74" s="148">
        <v>48</v>
      </c>
      <c r="P74" s="148" t="s">
        <v>123</v>
      </c>
      <c r="Q74" s="148">
        <v>0.62</v>
      </c>
      <c r="R74" s="148">
        <v>2.85</v>
      </c>
      <c r="S74" s="103" t="s">
        <v>459</v>
      </c>
      <c r="T74" s="103" t="b">
        <v>0</v>
      </c>
      <c r="U74" s="103" t="b">
        <v>0</v>
      </c>
      <c r="V74" s="100" t="s">
        <v>0</v>
      </c>
      <c r="W74" s="100" t="s">
        <v>4</v>
      </c>
      <c r="X74" s="140" t="s">
        <v>170</v>
      </c>
      <c r="Y74" s="100" t="s">
        <v>32</v>
      </c>
      <c r="Z74" s="58">
        <v>0</v>
      </c>
      <c r="AA74" s="59">
        <v>500</v>
      </c>
      <c r="AB74" s="59">
        <v>1000</v>
      </c>
      <c r="AC74" s="59">
        <v>1500</v>
      </c>
      <c r="AD74" s="59">
        <v>2000</v>
      </c>
      <c r="AE74" s="59">
        <v>3000</v>
      </c>
      <c r="AF74" s="60">
        <v>4640</v>
      </c>
      <c r="AG74" s="58">
        <v>580</v>
      </c>
      <c r="AH74" s="59">
        <v>540</v>
      </c>
      <c r="AI74" s="59">
        <v>485</v>
      </c>
      <c r="AJ74" s="59">
        <v>420</v>
      </c>
      <c r="AK74" s="59">
        <v>345</v>
      </c>
      <c r="AL74" s="59">
        <v>203</v>
      </c>
      <c r="AM74" s="60">
        <v>0</v>
      </c>
      <c r="AN74" s="61">
        <f>INDEX(LINEST($AG74:$AM74,$Z74:$AF74^Данные!$A$106:$A$110),1,6)</f>
        <v>580.06599372282449</v>
      </c>
      <c r="AO74" s="74">
        <f>INDEX(LINEST($AG74:$AM74,$Z74:$AF74^Данные!$A$106:$A$110),1,5)</f>
        <v>-7.0171198798012757E-2</v>
      </c>
      <c r="AP74" s="74">
        <f>INDEX(LINEST($AG74:$AM74,$Z74:$AF74^Данные!$A$106:$A$110),1,4)</f>
        <v>-1.5772266928387828E-5</v>
      </c>
      <c r="AQ74" s="74">
        <f>INDEX(LINEST($AG74:$AM74,$Z74:$AF74^Данные!$A$106:$A$110),1,3)</f>
        <v>-1.4276347093559097E-8</v>
      </c>
      <c r="AR74" s="74">
        <f>INDEX(LINEST($AG74:$AM74,$Z74:$AF74^Данные!$A$106:$A$110),1,2)</f>
        <v>6.6391043381635414E-12</v>
      </c>
      <c r="AS74" s="74">
        <f>INDEX(LINEST($AG74:$AM74,$Z74:$AF74^Данные!$A$106:$A$110),1,1)</f>
        <v>-7.2817044291336378E-16</v>
      </c>
      <c r="AT74" s="75">
        <v>0</v>
      </c>
      <c r="AU74" s="54" t="str">
        <f>Производитель_Европа</f>
        <v>Евросоюз</v>
      </c>
      <c r="AV74" s="41"/>
    </row>
    <row r="75" spans="1:48">
      <c r="A75" s="534" t="s">
        <v>738</v>
      </c>
      <c r="B75" s="54" t="e">
        <f>MATCH(A75,Вентиляторы!B$6:B$1864,0)</f>
        <v>#N/A</v>
      </c>
      <c r="C75" s="55" t="e">
        <f ca="1">OFFSET(Вентиляторы!#REF!,B75-1,0)</f>
        <v>#REF!</v>
      </c>
      <c r="D75" s="55" t="e">
        <f t="shared" ca="1" si="11"/>
        <v>#REF!</v>
      </c>
      <c r="E75" s="502" t="e">
        <f ca="1">OFFSET(Вентиляторы!#REF!,B75-1,0)</f>
        <v>#REF!</v>
      </c>
      <c r="F75" s="503" t="s">
        <v>591</v>
      </c>
      <c r="G75" s="56" t="e">
        <f t="shared" si="16"/>
        <v>#REF!</v>
      </c>
      <c r="H75" s="56" t="e">
        <f ca="1">($G75/OFFSET(ПП_Свод!T$3,MATCH(M75,ПП_Свод!B$4:B$213,0),0)-1) &gt; -Задача_Допуск/100</f>
        <v>#REF!</v>
      </c>
      <c r="I75" s="56" t="str">
        <f t="shared" si="14"/>
        <v>700x400=ЛОЖЬ</v>
      </c>
      <c r="J75" s="57" t="e">
        <f t="shared" ca="1" si="15"/>
        <v>#N/A</v>
      </c>
      <c r="K75" s="148">
        <v>700</v>
      </c>
      <c r="L75" s="148">
        <v>400</v>
      </c>
      <c r="M75" s="54" t="str">
        <f t="shared" si="17"/>
        <v>700x400</v>
      </c>
      <c r="N75" s="148">
        <v>780</v>
      </c>
      <c r="O75" s="148">
        <v>64</v>
      </c>
      <c r="P75" s="148" t="s">
        <v>43</v>
      </c>
      <c r="Q75" s="148">
        <v>0.6</v>
      </c>
      <c r="R75" s="148">
        <v>1.28</v>
      </c>
      <c r="S75" s="103" t="s">
        <v>459</v>
      </c>
      <c r="T75" s="103" t="b">
        <v>0</v>
      </c>
      <c r="U75" s="103" t="b">
        <v>0</v>
      </c>
      <c r="V75" s="100" t="s">
        <v>170</v>
      </c>
      <c r="W75" s="100" t="s">
        <v>11</v>
      </c>
      <c r="X75" s="140" t="s">
        <v>229</v>
      </c>
      <c r="Y75" s="100" t="s">
        <v>32</v>
      </c>
      <c r="Z75" s="58">
        <v>0</v>
      </c>
      <c r="AA75" s="59">
        <v>500</v>
      </c>
      <c r="AB75" s="59">
        <v>1000</v>
      </c>
      <c r="AC75" s="59">
        <v>2000</v>
      </c>
      <c r="AD75" s="59">
        <v>2500</v>
      </c>
      <c r="AE75" s="59">
        <v>3500</v>
      </c>
      <c r="AF75" s="60">
        <v>4440</v>
      </c>
      <c r="AG75" s="58">
        <v>595</v>
      </c>
      <c r="AH75" s="59">
        <v>550</v>
      </c>
      <c r="AI75" s="59">
        <v>485</v>
      </c>
      <c r="AJ75" s="59">
        <v>360</v>
      </c>
      <c r="AK75" s="59">
        <v>295</v>
      </c>
      <c r="AL75" s="59">
        <v>140</v>
      </c>
      <c r="AM75" s="60">
        <v>0</v>
      </c>
      <c r="AN75" s="61">
        <f>INDEX(LINEST($AG75:$AM75,$Z75:$AF75^Данные!$A$106:$A$110),1,6)</f>
        <v>595.09671574738934</v>
      </c>
      <c r="AO75" s="74">
        <f>INDEX(LINEST($AG75:$AM75,$Z75:$AF75^Данные!$A$106:$A$110),1,5)</f>
        <v>-5.0739243420990593E-2</v>
      </c>
      <c r="AP75" s="74">
        <f>INDEX(LINEST($AG75:$AM75,$Z75:$AF75^Данные!$A$106:$A$110),1,4)</f>
        <v>-1.1029746228679891E-4</v>
      </c>
      <c r="AQ75" s="74">
        <f>INDEX(LINEST($AG75:$AM75,$Z75:$AF75^Данные!$A$106:$A$110),1,3)</f>
        <v>6.810828236927842E-8</v>
      </c>
      <c r="AR75" s="74">
        <f>INDEX(LINEST($AG75:$AM75,$Z75:$AF75^Данные!$A$106:$A$110),1,2)</f>
        <v>-1.8297806944535997E-11</v>
      </c>
      <c r="AS75" s="74">
        <f>INDEX(LINEST($AG75:$AM75,$Z75:$AF75^Данные!$A$106:$A$110),1,1)</f>
        <v>1.7120582234213662E-15</v>
      </c>
      <c r="AT75" s="75">
        <v>0</v>
      </c>
      <c r="AU75" s="54" t="str">
        <f>Производитель_Европа</f>
        <v>Евросоюз</v>
      </c>
      <c r="AV75" s="41"/>
    </row>
    <row r="76" spans="1:48">
      <c r="A76" s="534" t="s">
        <v>739</v>
      </c>
      <c r="B76" s="54" t="e">
        <f>MATCH(A76,Вентиляторы!B$6:B$1864,0)</f>
        <v>#N/A</v>
      </c>
      <c r="C76" s="55" t="e">
        <f ca="1">OFFSET(Вентиляторы!#REF!,B76-1,0)</f>
        <v>#REF!</v>
      </c>
      <c r="D76" s="55" t="e">
        <f t="shared" ref="D76:D87" ca="1" si="18">MID(C76,SEARCH("LV-",C76,1),IFERROR(SEARCH("(",C76,1),LEN(C76)+2)-SEARCH("LV-",C76,1)-1)</f>
        <v>#REF!</v>
      </c>
      <c r="E76" s="502" t="e">
        <f ca="1">OFFSET(Вентиляторы!#REF!,B76-1,0)</f>
        <v>#REF!</v>
      </c>
      <c r="F76" s="503" t="s">
        <v>591</v>
      </c>
      <c r="G76" s="56" t="e">
        <f t="shared" si="16"/>
        <v>#REF!</v>
      </c>
      <c r="H76" s="56" t="e">
        <f ca="1">($G76/OFFSET(ПП_Свод!T$3,MATCH(M76,ПП_Свод!B$4:B$213,0),0)-1) &gt; -Задача_Допуск/100</f>
        <v>#REF!</v>
      </c>
      <c r="I76" s="56" t="str">
        <f t="shared" si="14"/>
        <v>700x400=ЛОЖЬ</v>
      </c>
      <c r="J76" s="57" t="e">
        <f t="shared" ca="1" si="15"/>
        <v>#N/A</v>
      </c>
      <c r="K76" s="148">
        <v>700</v>
      </c>
      <c r="L76" s="148">
        <v>400</v>
      </c>
      <c r="M76" s="54" t="str">
        <f t="shared" si="17"/>
        <v>700x400</v>
      </c>
      <c r="N76" s="148">
        <v>780</v>
      </c>
      <c r="O76" s="148">
        <v>46</v>
      </c>
      <c r="P76" s="148" t="s">
        <v>43</v>
      </c>
      <c r="Q76" s="148">
        <v>1.1000000000000001</v>
      </c>
      <c r="R76" s="148">
        <v>2</v>
      </c>
      <c r="S76" s="103" t="s">
        <v>459</v>
      </c>
      <c r="T76" s="103" t="b">
        <v>0</v>
      </c>
      <c r="U76" s="103" t="b">
        <v>0</v>
      </c>
      <c r="V76" s="100" t="s">
        <v>170</v>
      </c>
      <c r="W76" s="100" t="s">
        <v>11</v>
      </c>
      <c r="X76" s="140" t="s">
        <v>230</v>
      </c>
      <c r="Y76" s="100" t="s">
        <v>32</v>
      </c>
      <c r="Z76" s="58">
        <v>0</v>
      </c>
      <c r="AA76" s="59">
        <v>500</v>
      </c>
      <c r="AB76" s="59">
        <v>1000</v>
      </c>
      <c r="AC76" s="59">
        <v>1500</v>
      </c>
      <c r="AD76" s="59">
        <v>2000</v>
      </c>
      <c r="AE76" s="59">
        <v>3000</v>
      </c>
      <c r="AF76" s="60">
        <v>3850</v>
      </c>
      <c r="AG76" s="58">
        <v>404</v>
      </c>
      <c r="AH76" s="59">
        <v>370</v>
      </c>
      <c r="AI76" s="59">
        <v>355</v>
      </c>
      <c r="AJ76" s="59">
        <v>360</v>
      </c>
      <c r="AK76" s="59">
        <v>350</v>
      </c>
      <c r="AL76" s="59">
        <v>285</v>
      </c>
      <c r="AM76" s="60">
        <v>160</v>
      </c>
      <c r="AN76" s="61">
        <f>INDEX(LINEST($AG76:$AM76,$Z76:$AF76^Данные!$A$106:$A$110),1,6)</f>
        <v>404.23527413781306</v>
      </c>
      <c r="AO76" s="74">
        <f>INDEX(LINEST($AG76:$AM76,$Z76:$AF76^Данные!$A$106:$A$110),1,5)</f>
        <v>-0.10492558224019842</v>
      </c>
      <c r="AP76" s="74">
        <f>INDEX(LINEST($AG76:$AM76,$Z76:$AF76^Данные!$A$106:$A$110),1,4)</f>
        <v>7.5977797657695233E-5</v>
      </c>
      <c r="AQ76" s="74">
        <f>INDEX(LINEST($AG76:$AM76,$Z76:$AF76^Данные!$A$106:$A$110),1,3)</f>
        <v>-1.5312793598547686E-8</v>
      </c>
      <c r="AR76" s="74">
        <f>INDEX(LINEST($AG76:$AM76,$Z76:$AF76^Данные!$A$106:$A$110),1,2)</f>
        <v>-2.7082606455736665E-12</v>
      </c>
      <c r="AS76" s="74">
        <f>INDEX(LINEST($AG76:$AM76,$Z76:$AF76^Данные!$A$106:$A$110),1,1)</f>
        <v>5.9400289064292742E-16</v>
      </c>
      <c r="AT76" s="75">
        <v>0</v>
      </c>
      <c r="AU76" s="54" t="str">
        <f>Производитель_Европа</f>
        <v>Евросоюз</v>
      </c>
      <c r="AV76" s="41"/>
    </row>
    <row r="77" spans="1:48">
      <c r="A77" s="534" t="s">
        <v>740</v>
      </c>
      <c r="B77" s="54">
        <f>MATCH(A77,Вентиляторы!B$6:B$1864,0)</f>
        <v>40</v>
      </c>
      <c r="C77" s="55" t="e">
        <f ca="1">OFFSET(Вентиляторы!#REF!,B77-1,0)</f>
        <v>#REF!</v>
      </c>
      <c r="D77" s="55" t="e">
        <f ca="1">MID(C77,SEARCH("LV-",C77,1),IFERROR(SEARCH("(",C77,1),LEN(C77)+2)-SEARCH("LV-",C77,1)-1)</f>
        <v>#REF!</v>
      </c>
      <c r="E77" s="502" t="e">
        <f ca="1">OFFSET(Вентиляторы!#REF!,B77-1,0)</f>
        <v>#REF!</v>
      </c>
      <c r="F77" s="503" t="s">
        <v>591</v>
      </c>
      <c r="G77" s="56" t="e">
        <f>AN77+Задача_Расход*(AO77+Задача_Расход*(AP77+Задача_Расход*(AQ77+Задача_Расход*(AR77+Задача_Расход*(AS77+Задача_Расход*AT77)))))</f>
        <v>#REF!</v>
      </c>
      <c r="H77" s="56" t="e">
        <f ca="1">($G77/OFFSET(ПП_Свод!T$3,MATCH(M77,ПП_Свод!B$4:B$213,0),0)-1) &gt; -Задача_Допуск/100</f>
        <v>#REF!</v>
      </c>
      <c r="I77" s="56" t="str">
        <f t="shared" si="14"/>
        <v>700x400=ЛОЖЬ</v>
      </c>
      <c r="J77" s="57" t="e">
        <f t="shared" ca="1" si="15"/>
        <v>#N/A</v>
      </c>
      <c r="K77" s="148">
        <v>700</v>
      </c>
      <c r="L77" s="148">
        <v>400</v>
      </c>
      <c r="M77" s="54" t="str">
        <f>IF(L77&gt;0,IF(K77&gt;0,CONCATENATE(K77,"x",L77),L77),CONCATENATE("Ø",K77))</f>
        <v>700x400</v>
      </c>
      <c r="N77" s="148">
        <v>700</v>
      </c>
      <c r="O77" s="148">
        <v>101</v>
      </c>
      <c r="P77" s="148" t="s">
        <v>43</v>
      </c>
      <c r="Q77" s="148">
        <v>2.2000000000000002</v>
      </c>
      <c r="R77" s="148">
        <v>4.9000000000000004</v>
      </c>
      <c r="S77" s="103" t="s">
        <v>459</v>
      </c>
      <c r="T77" s="103" t="b">
        <v>1</v>
      </c>
      <c r="U77" s="103" t="b">
        <v>0</v>
      </c>
      <c r="V77" s="100" t="s">
        <v>170</v>
      </c>
      <c r="W77" s="100" t="s">
        <v>170</v>
      </c>
      <c r="X77" s="140" t="s">
        <v>232</v>
      </c>
      <c r="Y77" s="100" t="s">
        <v>32</v>
      </c>
      <c r="Z77" s="58">
        <v>0</v>
      </c>
      <c r="AA77" s="59">
        <v>1000</v>
      </c>
      <c r="AB77" s="59">
        <v>2000</v>
      </c>
      <c r="AC77" s="59">
        <v>4000</v>
      </c>
      <c r="AD77" s="59">
        <v>5000</v>
      </c>
      <c r="AE77" s="59">
        <v>6000</v>
      </c>
      <c r="AF77" s="60">
        <v>6714</v>
      </c>
      <c r="AG77" s="58">
        <v>1440</v>
      </c>
      <c r="AH77" s="59">
        <v>1420</v>
      </c>
      <c r="AI77" s="59">
        <v>1380</v>
      </c>
      <c r="AJ77" s="59">
        <v>1160</v>
      </c>
      <c r="AK77" s="59">
        <v>920</v>
      </c>
      <c r="AL77" s="59">
        <v>485</v>
      </c>
      <c r="AM77" s="60">
        <v>45</v>
      </c>
      <c r="AN77" s="61">
        <f>INDEX(LINEST($AG77:$AM77,$Z77:$AF77^Данные!$A$106:$A$110),1,6)</f>
        <v>1439.6120210751226</v>
      </c>
      <c r="AO77" s="74">
        <f>INDEX(LINEST($AG77:$AM77,$Z77:$AF77^Данные!$A$106:$A$110),1,5)</f>
        <v>3.3259971511530812E-3</v>
      </c>
      <c r="AP77" s="74">
        <f>INDEX(LINEST($AG77:$AM77,$Z77:$AF77^Данные!$A$106:$A$110),1,4)</f>
        <v>-2.8409518281638549E-5</v>
      </c>
      <c r="AQ77" s="74">
        <f>INDEX(LINEST($AG77:$AM77,$Z77:$AF77^Данные!$A$106:$A$110),1,3)</f>
        <v>9.1674406750056097E-9</v>
      </c>
      <c r="AR77" s="74">
        <f>INDEX(LINEST($AG77:$AM77,$Z77:$AF77^Данные!$A$106:$A$110),1,2)</f>
        <v>-1.949327325894222E-12</v>
      </c>
      <c r="AS77" s="74">
        <f>INDEX(LINEST($AG77:$AM77,$Z77:$AF77^Данные!$A$106:$A$110),1,1)</f>
        <v>7.6901233119771333E-17</v>
      </c>
      <c r="AT77" s="75">
        <v>0</v>
      </c>
      <c r="AU77" s="54" t="str">
        <f>Производитель_Россия</f>
        <v>Россия</v>
      </c>
      <c r="AV77" s="41"/>
    </row>
    <row r="78" spans="1:48">
      <c r="A78" s="534" t="s">
        <v>741</v>
      </c>
      <c r="B78" s="54" t="e">
        <f>MATCH(A78,Вентиляторы!B$6:B$1864,0)</f>
        <v>#N/A</v>
      </c>
      <c r="C78" s="55" t="e">
        <f ca="1">OFFSET(Вентиляторы!#REF!,B78-1,0)</f>
        <v>#REF!</v>
      </c>
      <c r="D78" s="55" t="e">
        <f t="shared" ca="1" si="18"/>
        <v>#REF!</v>
      </c>
      <c r="E78" s="502" t="e">
        <f ca="1">OFFSET(Вентиляторы!#REF!,B78-1,0)</f>
        <v>#REF!</v>
      </c>
      <c r="F78" s="503" t="s">
        <v>591</v>
      </c>
      <c r="G78" s="56" t="e">
        <f t="shared" si="16"/>
        <v>#REF!</v>
      </c>
      <c r="H78" s="56" t="e">
        <f ca="1">($G78/OFFSET(ПП_Свод!T$3,MATCH(M78,ПП_Свод!B$4:B$213,0),0)-1) &gt; -Задача_Допуск/100</f>
        <v>#REF!</v>
      </c>
      <c r="I78" s="56" t="str">
        <f t="shared" si="14"/>
        <v>700x400=ЛОЖЬ</v>
      </c>
      <c r="J78" s="57" t="e">
        <f t="shared" ca="1" si="15"/>
        <v>#N/A</v>
      </c>
      <c r="K78" s="148">
        <v>700</v>
      </c>
      <c r="L78" s="148">
        <v>400</v>
      </c>
      <c r="M78" s="54" t="str">
        <f t="shared" si="17"/>
        <v>700x400</v>
      </c>
      <c r="N78" s="148">
        <v>780</v>
      </c>
      <c r="O78" s="148">
        <v>60</v>
      </c>
      <c r="P78" s="148" t="s">
        <v>43</v>
      </c>
      <c r="Q78" s="148">
        <v>3.7</v>
      </c>
      <c r="R78" s="148">
        <v>6</v>
      </c>
      <c r="S78" s="103" t="s">
        <v>459</v>
      </c>
      <c r="T78" s="103" t="b">
        <v>0</v>
      </c>
      <c r="U78" s="103" t="b">
        <v>0</v>
      </c>
      <c r="V78" s="100" t="s">
        <v>170</v>
      </c>
      <c r="W78" s="100" t="s">
        <v>15</v>
      </c>
      <c r="X78" s="140" t="s">
        <v>234</v>
      </c>
      <c r="Y78" s="100" t="s">
        <v>32</v>
      </c>
      <c r="Z78" s="58">
        <v>0</v>
      </c>
      <c r="AA78" s="59">
        <v>1000</v>
      </c>
      <c r="AB78" s="59">
        <v>2000</v>
      </c>
      <c r="AC78" s="59">
        <v>2800</v>
      </c>
      <c r="AD78" s="59">
        <v>3500</v>
      </c>
      <c r="AE78" s="59">
        <v>4500</v>
      </c>
      <c r="AF78" s="60">
        <v>5870</v>
      </c>
      <c r="AG78" s="58">
        <v>817</v>
      </c>
      <c r="AH78" s="59">
        <v>830</v>
      </c>
      <c r="AI78" s="59">
        <v>850</v>
      </c>
      <c r="AJ78" s="59">
        <v>890</v>
      </c>
      <c r="AK78" s="59">
        <v>850</v>
      </c>
      <c r="AL78" s="59">
        <v>705</v>
      </c>
      <c r="AM78" s="60">
        <v>320</v>
      </c>
      <c r="AN78" s="61">
        <f>INDEX(LINEST($AG78:$AM78,$Z78:$AF78^Данные!$A$106:$A$110),1,6)</f>
        <v>817.30890429133319</v>
      </c>
      <c r="AO78" s="74">
        <f>INDEX(LINEST($AG78:$AM78,$Z78:$AF78^Данные!$A$106:$A$110),1,5)</f>
        <v>3.1227593817586906E-2</v>
      </c>
      <c r="AP78" s="74">
        <f>INDEX(LINEST($AG78:$AM78,$Z78:$AF78^Данные!$A$106:$A$110),1,4)</f>
        <v>-5.3729403421636849E-5</v>
      </c>
      <c r="AQ78" s="74">
        <f>INDEX(LINEST($AG78:$AM78,$Z78:$AF78^Данные!$A$106:$A$110),1,3)</f>
        <v>4.4015723403246495E-8</v>
      </c>
      <c r="AR78" s="74">
        <f>INDEX(LINEST($AG78:$AM78,$Z78:$AF78^Данные!$A$106:$A$110),1,2)</f>
        <v>-1.1810489583266722E-11</v>
      </c>
      <c r="AS78" s="74">
        <f>INDEX(LINEST($AG78:$AM78,$Z78:$AF78^Данные!$A$106:$A$110),1,1)</f>
        <v>9.0259924125904651E-16</v>
      </c>
      <c r="AT78" s="75">
        <v>0</v>
      </c>
      <c r="AU78" s="54" t="str">
        <f>Производитель_Европа</f>
        <v>Евросоюз</v>
      </c>
      <c r="AV78" s="41"/>
    </row>
    <row r="79" spans="1:48">
      <c r="A79" s="534" t="s">
        <v>742</v>
      </c>
      <c r="B79" s="54" t="e">
        <f>MATCH(A79,Вентиляторы!B$6:B$1864,0)</f>
        <v>#N/A</v>
      </c>
      <c r="C79" s="55" t="e">
        <f ca="1">OFFSET(Вентиляторы!#REF!,B79-1,0)</f>
        <v>#REF!</v>
      </c>
      <c r="D79" s="55" t="e">
        <f t="shared" ca="1" si="18"/>
        <v>#REF!</v>
      </c>
      <c r="E79" s="502" t="e">
        <f ca="1">OFFSET(Вентиляторы!#REF!,B79-1,0)</f>
        <v>#REF!</v>
      </c>
      <c r="F79" s="503" t="s">
        <v>591</v>
      </c>
      <c r="G79" s="56" t="e">
        <f t="shared" si="16"/>
        <v>#REF!</v>
      </c>
      <c r="H79" s="56" t="e">
        <f ca="1">($G79/OFFSET(ПП_Свод!T$3,MATCH(M79,ПП_Свод!B$4:B$213,0),0)-1) &gt; -Задача_Допуск/100</f>
        <v>#REF!</v>
      </c>
      <c r="I79" s="56" t="str">
        <f t="shared" si="14"/>
        <v>700x400=ЛОЖЬ</v>
      </c>
      <c r="J79" s="57" t="e">
        <f t="shared" ca="1" si="15"/>
        <v>#N/A</v>
      </c>
      <c r="K79" s="148">
        <v>700</v>
      </c>
      <c r="L79" s="148">
        <v>400</v>
      </c>
      <c r="M79" s="54" t="str">
        <f t="shared" si="17"/>
        <v>700x400</v>
      </c>
      <c r="N79" s="148">
        <v>780</v>
      </c>
      <c r="O79" s="148">
        <v>96</v>
      </c>
      <c r="P79" s="148" t="s">
        <v>43</v>
      </c>
      <c r="Q79" s="148">
        <v>3.49</v>
      </c>
      <c r="R79" s="148">
        <v>6</v>
      </c>
      <c r="S79" s="103" t="s">
        <v>459</v>
      </c>
      <c r="T79" s="103" t="b">
        <v>1</v>
      </c>
      <c r="U79" s="103" t="b">
        <v>0</v>
      </c>
      <c r="V79" s="100" t="s">
        <v>170</v>
      </c>
      <c r="W79" s="100" t="s">
        <v>15</v>
      </c>
      <c r="X79" s="140" t="s">
        <v>234</v>
      </c>
      <c r="Y79" s="100" t="s">
        <v>32</v>
      </c>
      <c r="Z79" s="58">
        <v>0</v>
      </c>
      <c r="AA79" s="59">
        <v>1000</v>
      </c>
      <c r="AB79" s="59">
        <v>1500</v>
      </c>
      <c r="AC79" s="59">
        <v>2000</v>
      </c>
      <c r="AD79" s="59">
        <v>3000</v>
      </c>
      <c r="AE79" s="59">
        <v>4200</v>
      </c>
      <c r="AF79" s="60">
        <v>5900</v>
      </c>
      <c r="AG79" s="58">
        <v>820</v>
      </c>
      <c r="AH79" s="59">
        <v>832</v>
      </c>
      <c r="AI79" s="59">
        <v>833</v>
      </c>
      <c r="AJ79" s="59">
        <v>850</v>
      </c>
      <c r="AK79" s="59">
        <v>880</v>
      </c>
      <c r="AL79" s="59">
        <v>775</v>
      </c>
      <c r="AM79" s="60">
        <v>319</v>
      </c>
      <c r="AN79" s="61">
        <f>INDEX(LINEST($AG79:$AM79,$Z79:$AF79^Данные!$A$106:$A$110),1,6)</f>
        <v>820.03590163027116</v>
      </c>
      <c r="AO79" s="74">
        <f>INDEX(LINEST($AG79:$AM79,$Z79:$AF79^Данные!$A$106:$A$110),1,5)</f>
        <v>7.5215223865255698E-2</v>
      </c>
      <c r="AP79" s="74">
        <f>INDEX(LINEST($AG79:$AM79,$Z79:$AF79^Данные!$A$106:$A$110),1,4)</f>
        <v>-1.2703792043954081E-4</v>
      </c>
      <c r="AQ79" s="74">
        <f>INDEX(LINEST($AG79:$AM79,$Z79:$AF79^Данные!$A$106:$A$110),1,3)</f>
        <v>8.1015509414564256E-8</v>
      </c>
      <c r="AR79" s="74">
        <f>INDEX(LINEST($AG79:$AM79,$Z79:$AF79^Данные!$A$106:$A$110),1,2)</f>
        <v>-1.9142956211949663E-11</v>
      </c>
      <c r="AS79" s="74">
        <f>INDEX(LINEST($AG79:$AM79,$Z79:$AF79^Данные!$A$106:$A$110),1,1)</f>
        <v>1.4036051607893843E-15</v>
      </c>
      <c r="AT79" s="75">
        <v>0</v>
      </c>
      <c r="AU79" s="63" t="str">
        <f>Производитель_Европа</f>
        <v>Евросоюз</v>
      </c>
      <c r="AV79" s="41"/>
    </row>
    <row r="80" spans="1:48">
      <c r="A80" s="535" t="s">
        <v>743</v>
      </c>
      <c r="B80" s="44" t="e">
        <f>MATCH(A80,Вентиляторы!B$6:B$1864,0)</f>
        <v>#N/A</v>
      </c>
      <c r="C80" s="45" t="e">
        <f ca="1">OFFSET(Вентиляторы!#REF!,B80-1,0)</f>
        <v>#REF!</v>
      </c>
      <c r="D80" s="45" t="e">
        <f t="shared" ca="1" si="18"/>
        <v>#REF!</v>
      </c>
      <c r="E80" s="486" t="e">
        <f ca="1">OFFSET(Вентиляторы!#REF!,B80-1,0)</f>
        <v>#REF!</v>
      </c>
      <c r="F80" s="501" t="s">
        <v>591</v>
      </c>
      <c r="G80" s="46" t="e">
        <f t="shared" si="16"/>
        <v>#REF!</v>
      </c>
      <c r="H80" s="46" t="e">
        <f ca="1">($G80/OFFSET(ПП_Свод!T$3,MATCH(M80,ПП_Свод!B$4:B$213,0),0)-1) &gt; -Задача_Допуск/100</f>
        <v>#REF!</v>
      </c>
      <c r="I80" s="46" t="str">
        <f t="shared" si="14"/>
        <v>800x500=ЛОЖЬ</v>
      </c>
      <c r="J80" s="47" t="e">
        <f t="shared" ca="1" si="15"/>
        <v>#N/A</v>
      </c>
      <c r="K80" s="147">
        <v>800</v>
      </c>
      <c r="L80" s="147">
        <v>500</v>
      </c>
      <c r="M80" s="44" t="str">
        <f t="shared" si="17"/>
        <v>800x500</v>
      </c>
      <c r="N80" s="147">
        <v>880</v>
      </c>
      <c r="O80" s="147">
        <v>56</v>
      </c>
      <c r="P80" s="147" t="s">
        <v>123</v>
      </c>
      <c r="Q80" s="147">
        <v>0.66</v>
      </c>
      <c r="R80" s="147">
        <v>3</v>
      </c>
      <c r="S80" s="85" t="s">
        <v>459</v>
      </c>
      <c r="T80" s="85" t="b">
        <v>0</v>
      </c>
      <c r="U80" s="85" t="b">
        <v>0</v>
      </c>
      <c r="V80" s="80" t="s">
        <v>0</v>
      </c>
      <c r="W80" s="80" t="s">
        <v>4</v>
      </c>
      <c r="X80" s="139" t="s">
        <v>170</v>
      </c>
      <c r="Y80" s="80" t="s">
        <v>33</v>
      </c>
      <c r="Z80" s="48">
        <v>0</v>
      </c>
      <c r="AA80" s="49">
        <v>500</v>
      </c>
      <c r="AB80" s="49">
        <v>1000</v>
      </c>
      <c r="AC80" s="49">
        <v>2000</v>
      </c>
      <c r="AD80" s="49">
        <v>3000</v>
      </c>
      <c r="AE80" s="49">
        <v>4000</v>
      </c>
      <c r="AF80" s="50">
        <v>5080</v>
      </c>
      <c r="AG80" s="48">
        <v>595</v>
      </c>
      <c r="AH80" s="49">
        <v>530</v>
      </c>
      <c r="AI80" s="49">
        <v>480</v>
      </c>
      <c r="AJ80" s="49">
        <v>390</v>
      </c>
      <c r="AK80" s="49">
        <v>290</v>
      </c>
      <c r="AL80" s="49">
        <v>160</v>
      </c>
      <c r="AM80" s="50">
        <v>0</v>
      </c>
      <c r="AN80" s="51">
        <f>INDEX(LINEST($AG80:$AM80,$Z80:$AF80^Данные!$A$106:$A$110),1,6)</f>
        <v>594.85530727001333</v>
      </c>
      <c r="AO80" s="72">
        <f>INDEX(LINEST($AG80:$AM80,$Z80:$AF80^Данные!$A$106:$A$110),1,5)</f>
        <v>-0.14630847918825049</v>
      </c>
      <c r="AP80" s="72">
        <f>INDEX(LINEST($AG80:$AM80,$Z80:$AF80^Данные!$A$106:$A$110),1,4)</f>
        <v>4.0628094785300693E-5</v>
      </c>
      <c r="AQ80" s="72">
        <f>INDEX(LINEST($AG80:$AM80,$Z80:$AF80^Данные!$A$106:$A$110),1,3)</f>
        <v>-1.0421720509515945E-8</v>
      </c>
      <c r="AR80" s="72">
        <f>INDEX(LINEST($AG80:$AM80,$Z80:$AF80^Данные!$A$106:$A$110),1,2)</f>
        <v>4.8357132613382035E-13</v>
      </c>
      <c r="AS80" s="72">
        <f>INDEX(LINEST($AG80:$AM80,$Z80:$AF80^Данные!$A$106:$A$110),1,1)</f>
        <v>4.2599778737237427E-17</v>
      </c>
      <c r="AT80" s="73">
        <v>0</v>
      </c>
      <c r="AU80" s="44" t="str">
        <f>Производитель_Европа</f>
        <v>Евросоюз</v>
      </c>
      <c r="AV80" s="41"/>
    </row>
    <row r="81" spans="1:48">
      <c r="A81" s="534" t="s">
        <v>744</v>
      </c>
      <c r="B81" s="54" t="e">
        <f>MATCH(A81,Вентиляторы!B$6:B$1864,0)</f>
        <v>#N/A</v>
      </c>
      <c r="C81" s="55" t="e">
        <f ca="1">OFFSET(Вентиляторы!#REF!,B81-1,0)</f>
        <v>#REF!</v>
      </c>
      <c r="D81" s="55" t="e">
        <f ca="1">MID(C81,SEARCH("LV-",C81,1),IFERROR(SEARCH("(",C81,1),LEN(C81)+2)-SEARCH("LV-",C81,1)-1)</f>
        <v>#REF!</v>
      </c>
      <c r="E81" s="502" t="e">
        <f ca="1">OFFSET(Вентиляторы!#REF!,B81-1,0)</f>
        <v>#REF!</v>
      </c>
      <c r="F81" s="503" t="s">
        <v>591</v>
      </c>
      <c r="G81" s="56" t="e">
        <f>AN81+Задача_Расход*(AO81+Задача_Расход*(AP81+Задача_Расход*(AQ81+Задача_Расход*(AR81+Задача_Расход*(AS81+Задача_Расход*AT81)))))</f>
        <v>#REF!</v>
      </c>
      <c r="H81" s="56" t="e">
        <f ca="1">($G81/OFFSET(ПП_Свод!T$3,MATCH(M81,ПП_Свод!B$4:B$213,0),0)-1) &gt; -Задача_Допуск/100</f>
        <v>#REF!</v>
      </c>
      <c r="I81" s="56" t="str">
        <f t="shared" si="14"/>
        <v>800x500=ЛОЖЬ</v>
      </c>
      <c r="J81" s="57" t="e">
        <f t="shared" ca="1" si="15"/>
        <v>#N/A</v>
      </c>
      <c r="K81" s="148">
        <v>800</v>
      </c>
      <c r="L81" s="148">
        <v>500</v>
      </c>
      <c r="M81" s="54" t="str">
        <f>IF(L81&gt;0,IF(K81&gt;0,CONCATENATE(K81,"x",L81),L81),CONCATENATE("Ø",K81))</f>
        <v>800x500</v>
      </c>
      <c r="N81" s="148">
        <v>650</v>
      </c>
      <c r="O81" s="148">
        <v>74</v>
      </c>
      <c r="P81" s="148" t="s">
        <v>43</v>
      </c>
      <c r="Q81" s="148">
        <v>2.2000000000000002</v>
      </c>
      <c r="R81" s="148">
        <v>4.8</v>
      </c>
      <c r="S81" s="103" t="s">
        <v>459</v>
      </c>
      <c r="T81" s="103" t="b">
        <v>0</v>
      </c>
      <c r="U81" s="103" t="b">
        <v>0</v>
      </c>
      <c r="V81" s="100" t="s">
        <v>170</v>
      </c>
      <c r="W81" s="100" t="s">
        <v>170</v>
      </c>
      <c r="X81" s="140" t="s">
        <v>232</v>
      </c>
      <c r="Y81" s="100" t="s">
        <v>33</v>
      </c>
      <c r="Z81" s="58">
        <v>0</v>
      </c>
      <c r="AA81" s="59">
        <v>1000</v>
      </c>
      <c r="AB81" s="59">
        <v>2000</v>
      </c>
      <c r="AC81" s="59">
        <v>3800</v>
      </c>
      <c r="AD81" s="59">
        <v>5000</v>
      </c>
      <c r="AE81" s="59">
        <v>6000</v>
      </c>
      <c r="AF81" s="60">
        <v>6700</v>
      </c>
      <c r="AG81" s="58">
        <v>1440</v>
      </c>
      <c r="AH81" s="59">
        <v>1410</v>
      </c>
      <c r="AI81" s="59">
        <v>1380</v>
      </c>
      <c r="AJ81" s="59">
        <v>1200</v>
      </c>
      <c r="AK81" s="59">
        <v>900</v>
      </c>
      <c r="AL81" s="59">
        <v>480</v>
      </c>
      <c r="AM81" s="60">
        <v>40</v>
      </c>
      <c r="AN81" s="61">
        <f>INDEX(LINEST($AG81:$AM81,$Z81:$AF81^Данные!$A$106:$A$110),1,6)</f>
        <v>1440.1524086148277</v>
      </c>
      <c r="AO81" s="74">
        <f>INDEX(LINEST($AG81:$AM81,$Z81:$AF81^Данные!$A$106:$A$110),1,5)</f>
        <v>-5.4384682962682972E-2</v>
      </c>
      <c r="AP81" s="74">
        <f>INDEX(LINEST($AG81:$AM81,$Z81:$AF81^Данные!$A$106:$A$110),1,4)</f>
        <v>3.7574221262207249E-5</v>
      </c>
      <c r="AQ81" s="74">
        <f>INDEX(LINEST($AG81:$AM81,$Z81:$AF81^Данные!$A$106:$A$110),1,3)</f>
        <v>-1.5841474855735524E-8</v>
      </c>
      <c r="AR81" s="74">
        <f>INDEX(LINEST($AG81:$AM81,$Z81:$AF81^Данные!$A$106:$A$110),1,2)</f>
        <v>1.9028790398139169E-12</v>
      </c>
      <c r="AS81" s="74">
        <f>INDEX(LINEST($AG81:$AM81,$Z81:$AF81^Данные!$A$106:$A$110),1,1)</f>
        <v>-1.3273518367750883E-16</v>
      </c>
      <c r="AT81" s="75">
        <v>0</v>
      </c>
      <c r="AU81" s="54" t="str">
        <f>Производитель_Россия</f>
        <v>Россия</v>
      </c>
      <c r="AV81" s="41"/>
    </row>
    <row r="82" spans="1:48">
      <c r="A82" s="534" t="s">
        <v>745</v>
      </c>
      <c r="B82" s="54" t="e">
        <f>MATCH(A82,Вентиляторы!B$6:B$1864,0)</f>
        <v>#N/A</v>
      </c>
      <c r="C82" s="55" t="e">
        <f ca="1">OFFSET(Вентиляторы!#REF!,B82-1,0)</f>
        <v>#REF!</v>
      </c>
      <c r="D82" s="55" t="e">
        <f ca="1">MID(C82,SEARCH("LV-",C82,1),IFERROR(SEARCH("(",C82,1),LEN(C82)+2)-SEARCH("LV-",C82,1)-1)</f>
        <v>#REF!</v>
      </c>
      <c r="E82" s="502" t="e">
        <f ca="1">OFFSET(Вентиляторы!#REF!,B82-1,0)</f>
        <v>#REF!</v>
      </c>
      <c r="F82" s="503" t="s">
        <v>591</v>
      </c>
      <c r="G82" s="56" t="e">
        <f>AN82+Задача_Расход*(AO82+Задача_Расход*(AP82+Задача_Расход*(AQ82+Задача_Расход*(AR82+Задача_Расход*(AS82+Задача_Расход*AT82)))))</f>
        <v>#REF!</v>
      </c>
      <c r="H82" s="56" t="e">
        <f ca="1">($G82/OFFSET(ПП_Свод!T$3,MATCH(M82,ПП_Свод!B$4:B$213,0),0)-1) &gt; -Задача_Допуск/100</f>
        <v>#REF!</v>
      </c>
      <c r="I82" s="56" t="str">
        <f t="shared" si="14"/>
        <v>800x500=ЛОЖЬ</v>
      </c>
      <c r="J82" s="57" t="e">
        <f t="shared" ca="1" si="15"/>
        <v>#N/A</v>
      </c>
      <c r="K82" s="148">
        <v>800</v>
      </c>
      <c r="L82" s="148">
        <v>500</v>
      </c>
      <c r="M82" s="54" t="str">
        <f>IF(L82&gt;0,IF(K82&gt;0,CONCATENATE(K82,"x",L82),L82),CONCATENATE("Ø",K82))</f>
        <v>800x500</v>
      </c>
      <c r="N82" s="148">
        <v>880</v>
      </c>
      <c r="O82" s="148">
        <v>63</v>
      </c>
      <c r="P82" s="148" t="s">
        <v>43</v>
      </c>
      <c r="Q82" s="148">
        <v>1.1399999999999999</v>
      </c>
      <c r="R82" s="148">
        <v>2.4</v>
      </c>
      <c r="S82" s="103" t="s">
        <v>459</v>
      </c>
      <c r="T82" s="103" t="b">
        <v>0</v>
      </c>
      <c r="U82" s="103" t="b">
        <v>0</v>
      </c>
      <c r="V82" s="100" t="s">
        <v>170</v>
      </c>
      <c r="W82" s="100" t="s">
        <v>12</v>
      </c>
      <c r="X82" s="140" t="s">
        <v>231</v>
      </c>
      <c r="Y82" s="100" t="s">
        <v>33</v>
      </c>
      <c r="Z82" s="58">
        <v>0</v>
      </c>
      <c r="AA82" s="59">
        <v>1000</v>
      </c>
      <c r="AB82" s="59">
        <v>1500</v>
      </c>
      <c r="AC82" s="59">
        <v>2000</v>
      </c>
      <c r="AD82" s="59">
        <v>2500</v>
      </c>
      <c r="AE82" s="59">
        <v>3000</v>
      </c>
      <c r="AF82" s="60">
        <v>3800</v>
      </c>
      <c r="AG82" s="58">
        <v>292</v>
      </c>
      <c r="AH82" s="59">
        <v>255</v>
      </c>
      <c r="AI82" s="59">
        <v>255</v>
      </c>
      <c r="AJ82" s="59">
        <v>262</v>
      </c>
      <c r="AK82" s="59">
        <v>255</v>
      </c>
      <c r="AL82" s="59">
        <v>225</v>
      </c>
      <c r="AM82" s="60">
        <v>130</v>
      </c>
      <c r="AN82" s="61">
        <f>INDEX(LINEST($AG82:$AM82,$Z82:$AF82^Данные!$A$106:$A$110),1,6)</f>
        <v>292.00771065290758</v>
      </c>
      <c r="AO82" s="74">
        <f>INDEX(LINEST($AG82:$AM82,$Z82:$AF82^Данные!$A$106:$A$110),1,5)</f>
        <v>-3.7745173455985839E-2</v>
      </c>
      <c r="AP82" s="74">
        <f>INDEX(LINEST($AG82:$AM82,$Z82:$AF82^Данные!$A$106:$A$110),1,4)</f>
        <v>-4.2276708239658929E-5</v>
      </c>
      <c r="AQ82" s="74">
        <f>INDEX(LINEST($AG82:$AM82,$Z82:$AF82^Данные!$A$106:$A$110),1,3)</f>
        <v>6.4172848254808679E-8</v>
      </c>
      <c r="AR82" s="74">
        <f>INDEX(LINEST($AG82:$AM82,$Z82:$AF82^Данные!$A$106:$A$110),1,2)</f>
        <v>-2.3910923846725024E-11</v>
      </c>
      <c r="AS82" s="74">
        <f>INDEX(LINEST($AG82:$AM82,$Z82:$AF82^Данные!$A$106:$A$110),1,1)</f>
        <v>2.5952797718943196E-15</v>
      </c>
      <c r="AT82" s="75">
        <v>0</v>
      </c>
      <c r="AU82" s="54" t="str">
        <f>Производитель_Европа</f>
        <v>Евросоюз</v>
      </c>
      <c r="AV82" s="41"/>
    </row>
    <row r="83" spans="1:48">
      <c r="A83" s="534" t="s">
        <v>746</v>
      </c>
      <c r="B83" s="54" t="e">
        <f>MATCH(A83,Вентиляторы!B$6:B$1864,0)</f>
        <v>#N/A</v>
      </c>
      <c r="C83" s="55" t="e">
        <f ca="1">OFFSET(Вентиляторы!#REF!,B83-1,0)</f>
        <v>#REF!</v>
      </c>
      <c r="D83" s="55" t="e">
        <f t="shared" ca="1" si="18"/>
        <v>#REF!</v>
      </c>
      <c r="E83" s="502" t="e">
        <f ca="1">OFFSET(Вентиляторы!#REF!,B83-1,0)</f>
        <v>#REF!</v>
      </c>
      <c r="F83" s="503" t="s">
        <v>591</v>
      </c>
      <c r="G83" s="56" t="e">
        <f t="shared" si="16"/>
        <v>#REF!</v>
      </c>
      <c r="H83" s="56" t="e">
        <f ca="1">($G83/OFFSET(ПП_Свод!T$3,MATCH(M83,ПП_Свод!B$4:B$213,0),0)-1) &gt; -Задача_Допуск/100</f>
        <v>#REF!</v>
      </c>
      <c r="I83" s="56" t="str">
        <f t="shared" si="14"/>
        <v>800x500=ЛОЖЬ</v>
      </c>
      <c r="J83" s="57" t="e">
        <f t="shared" ca="1" si="15"/>
        <v>#N/A</v>
      </c>
      <c r="K83" s="148">
        <v>800</v>
      </c>
      <c r="L83" s="148">
        <v>500</v>
      </c>
      <c r="M83" s="54" t="str">
        <f t="shared" si="17"/>
        <v>800x500</v>
      </c>
      <c r="N83" s="148">
        <v>880</v>
      </c>
      <c r="O83" s="148">
        <v>65</v>
      </c>
      <c r="P83" s="148" t="s">
        <v>43</v>
      </c>
      <c r="Q83" s="148">
        <v>1.2</v>
      </c>
      <c r="R83" s="148">
        <v>2.31</v>
      </c>
      <c r="S83" s="103" t="s">
        <v>459</v>
      </c>
      <c r="T83" s="103" t="b">
        <v>0</v>
      </c>
      <c r="U83" s="103" t="b">
        <v>0</v>
      </c>
      <c r="V83" s="100" t="s">
        <v>170</v>
      </c>
      <c r="W83" s="100" t="s">
        <v>12</v>
      </c>
      <c r="X83" s="140" t="s">
        <v>231</v>
      </c>
      <c r="Y83" s="100" t="s">
        <v>33</v>
      </c>
      <c r="Z83" s="58">
        <v>0</v>
      </c>
      <c r="AA83" s="59">
        <v>500</v>
      </c>
      <c r="AB83" s="59">
        <v>1000</v>
      </c>
      <c r="AC83" s="59">
        <v>3000</v>
      </c>
      <c r="AD83" s="59">
        <v>4000</v>
      </c>
      <c r="AE83" s="59">
        <v>6000</v>
      </c>
      <c r="AF83" s="60">
        <v>7575</v>
      </c>
      <c r="AG83" s="58">
        <v>775</v>
      </c>
      <c r="AH83" s="59">
        <v>715</v>
      </c>
      <c r="AI83" s="59">
        <v>695</v>
      </c>
      <c r="AJ83" s="59">
        <v>575</v>
      </c>
      <c r="AK83" s="59">
        <v>490</v>
      </c>
      <c r="AL83" s="59">
        <v>245</v>
      </c>
      <c r="AM83" s="60">
        <v>0</v>
      </c>
      <c r="AN83" s="61">
        <f>INDEX(LINEST($AG83:$AM83,$Z83:$AF83^Данные!$A$106:$A$110),1,6)</f>
        <v>772.83728787690325</v>
      </c>
      <c r="AO83" s="74">
        <f>INDEX(LINEST($AG83:$AM83,$Z83:$AF83^Данные!$A$106:$A$110),1,5)</f>
        <v>-0.12817227864792557</v>
      </c>
      <c r="AP83" s="74">
        <f>INDEX(LINEST($AG83:$AM83,$Z83:$AF83^Данные!$A$106:$A$110),1,4)</f>
        <v>6.2255046295766773E-5</v>
      </c>
      <c r="AQ83" s="74">
        <f>INDEX(LINEST($AG83:$AM83,$Z83:$AF83^Данные!$A$106:$A$110),1,3)</f>
        <v>-2.0339955696369302E-8</v>
      </c>
      <c r="AR83" s="74">
        <f>INDEX(LINEST($AG83:$AM83,$Z83:$AF83^Данные!$A$106:$A$110),1,2)</f>
        <v>2.5585348525179176E-12</v>
      </c>
      <c r="AS83" s="74">
        <f>INDEX(LINEST($AG83:$AM83,$Z83:$AF83^Данные!$A$106:$A$110),1,1)</f>
        <v>-1.1857481745404034E-16</v>
      </c>
      <c r="AT83" s="75">
        <v>0</v>
      </c>
      <c r="AU83" s="54" t="str">
        <f>Производитель_Европа</f>
        <v>Евросоюз</v>
      </c>
      <c r="AV83" s="41"/>
    </row>
    <row r="84" spans="1:48">
      <c r="A84" s="534" t="s">
        <v>747</v>
      </c>
      <c r="B84" s="54" t="e">
        <f>MATCH(A84,Вентиляторы!B$6:B$1864,0)</f>
        <v>#N/A</v>
      </c>
      <c r="C84" s="55" t="e">
        <f ca="1">OFFSET(Вентиляторы!#REF!,B84-1,0)</f>
        <v>#REF!</v>
      </c>
      <c r="D84" s="55" t="e">
        <f t="shared" ca="1" si="18"/>
        <v>#REF!</v>
      </c>
      <c r="E84" s="502" t="e">
        <f ca="1">OFFSET(Вентиляторы!#REF!,B84-1,0)</f>
        <v>#REF!</v>
      </c>
      <c r="F84" s="503" t="s">
        <v>591</v>
      </c>
      <c r="G84" s="56" t="e">
        <f t="shared" si="16"/>
        <v>#REF!</v>
      </c>
      <c r="H84" s="56" t="e">
        <f ca="1">($G84/OFFSET(ПП_Свод!T$3,MATCH(M84,ПП_Свод!B$4:B$213,0),0)-1) &gt; -Задача_Допуск/100</f>
        <v>#REF!</v>
      </c>
      <c r="I84" s="56" t="str">
        <f t="shared" si="14"/>
        <v>800x500=ЛОЖЬ</v>
      </c>
      <c r="J84" s="57" t="e">
        <f t="shared" ca="1" si="15"/>
        <v>#N/A</v>
      </c>
      <c r="K84" s="148">
        <v>800</v>
      </c>
      <c r="L84" s="148">
        <v>500</v>
      </c>
      <c r="M84" s="54" t="str">
        <f t="shared" si="17"/>
        <v>800x500</v>
      </c>
      <c r="N84" s="148">
        <v>880</v>
      </c>
      <c r="O84" s="148">
        <v>72</v>
      </c>
      <c r="P84" s="148" t="s">
        <v>43</v>
      </c>
      <c r="Q84" s="148">
        <v>2.7</v>
      </c>
      <c r="R84" s="148">
        <v>4.9000000000000004</v>
      </c>
      <c r="S84" s="103" t="s">
        <v>459</v>
      </c>
      <c r="T84" s="103" t="b">
        <v>0</v>
      </c>
      <c r="U84" s="103" t="b">
        <v>0</v>
      </c>
      <c r="V84" s="100" t="s">
        <v>170</v>
      </c>
      <c r="W84" s="100" t="s">
        <v>14</v>
      </c>
      <c r="X84" s="140" t="s">
        <v>233</v>
      </c>
      <c r="Y84" s="100" t="s">
        <v>33</v>
      </c>
      <c r="Z84" s="58">
        <v>0</v>
      </c>
      <c r="AA84" s="59">
        <v>1000</v>
      </c>
      <c r="AB84" s="59">
        <v>2500</v>
      </c>
      <c r="AC84" s="59">
        <v>3000</v>
      </c>
      <c r="AD84" s="59">
        <v>4000</v>
      </c>
      <c r="AE84" s="59">
        <v>5000</v>
      </c>
      <c r="AF84" s="60">
        <v>6630</v>
      </c>
      <c r="AG84" s="58">
        <v>548</v>
      </c>
      <c r="AH84" s="59">
        <v>505</v>
      </c>
      <c r="AI84" s="59">
        <v>500</v>
      </c>
      <c r="AJ84" s="59">
        <v>495</v>
      </c>
      <c r="AK84" s="59">
        <v>435</v>
      </c>
      <c r="AL84" s="59">
        <v>300</v>
      </c>
      <c r="AM84" s="60">
        <v>0</v>
      </c>
      <c r="AN84" s="61">
        <f>INDEX(LINEST($AG84:$AM84,$Z84:$AF84^Данные!$A$106:$A$110),1,6)</f>
        <v>548.02678513944579</v>
      </c>
      <c r="AO84" s="74">
        <f>INDEX(LINEST($AG84:$AM84,$Z84:$AF84^Данные!$A$106:$A$110),1,5)</f>
        <v>-7.0063780422241609E-2</v>
      </c>
      <c r="AP84" s="74">
        <f>INDEX(LINEST($AG84:$AM84,$Z84:$AF84^Данные!$A$106:$A$110),1,4)</f>
        <v>2.6936717524454621E-5</v>
      </c>
      <c r="AQ84" s="74">
        <f>INDEX(LINEST($AG84:$AM84,$Z84:$AF84^Данные!$A$106:$A$110),1,3)</f>
        <v>2.2318433085845009E-9</v>
      </c>
      <c r="AR84" s="74">
        <f>INDEX(LINEST($AG84:$AM84,$Z84:$AF84^Данные!$A$106:$A$110),1,2)</f>
        <v>-2.4886340388901998E-12</v>
      </c>
      <c r="AS84" s="74">
        <f>INDEX(LINEST($AG84:$AM84,$Z84:$AF84^Данные!$A$106:$A$110),1,1)</f>
        <v>2.2564051756092226E-16</v>
      </c>
      <c r="AT84" s="75">
        <v>0</v>
      </c>
      <c r="AU84" s="54" t="str">
        <f>Производитель_Европа</f>
        <v>Евросоюз</v>
      </c>
      <c r="AV84" s="41"/>
    </row>
    <row r="85" spans="1:48">
      <c r="A85" s="534" t="s">
        <v>748</v>
      </c>
      <c r="B85" s="54">
        <f>MATCH(A85,Вентиляторы!B$6:B$1864,0)</f>
        <v>42</v>
      </c>
      <c r="C85" s="55" t="e">
        <f ca="1">OFFSET(Вентиляторы!#REF!,B85-1,0)</f>
        <v>#REF!</v>
      </c>
      <c r="D85" s="55" t="e">
        <f ca="1">MID(C85,SEARCH("LV-",C85,1),IFERROR(SEARCH("(",C85,1),LEN(C85)+2)-SEARCH("LV-",C85,1)-1)</f>
        <v>#REF!</v>
      </c>
      <c r="E85" s="502" t="e">
        <f ca="1">OFFSET(Вентиляторы!#REF!,B85-1,0)</f>
        <v>#REF!</v>
      </c>
      <c r="F85" s="503" t="s">
        <v>591</v>
      </c>
      <c r="G85" s="56" t="e">
        <f>AN85+Задача_Расход*(AO85+Задача_Расход*(AP85+Задача_Расход*(AQ85+Задача_Расход*(AR85+Задача_Расход*(AS85+Задача_Расход*AT85)))))</f>
        <v>#REF!</v>
      </c>
      <c r="H85" s="56" t="e">
        <f ca="1">($G85/OFFSET(ПП_Свод!T$3,MATCH(M85,ПП_Свод!B$4:B$213,0),0)-1) &gt; -Задача_Допуск/100</f>
        <v>#REF!</v>
      </c>
      <c r="I85" s="56" t="str">
        <f t="shared" si="14"/>
        <v>800x500=ЛОЖЬ</v>
      </c>
      <c r="J85" s="57" t="e">
        <f t="shared" ca="1" si="15"/>
        <v>#N/A</v>
      </c>
      <c r="K85" s="148">
        <v>800</v>
      </c>
      <c r="L85" s="148">
        <v>500</v>
      </c>
      <c r="M85" s="54" t="str">
        <f>IF(L85&gt;0,IF(K85&gt;0,CONCATENATE(K85,"x",L85),L85),CONCATENATE("Ø",K85))</f>
        <v>800x500</v>
      </c>
      <c r="N85" s="148">
        <v>750</v>
      </c>
      <c r="O85" s="148">
        <v>112</v>
      </c>
      <c r="P85" s="148" t="s">
        <v>43</v>
      </c>
      <c r="Q85" s="148">
        <v>2.2000000000000002</v>
      </c>
      <c r="R85" s="148">
        <v>4.9000000000000004</v>
      </c>
      <c r="S85" s="103" t="s">
        <v>459</v>
      </c>
      <c r="T85" s="103" t="b">
        <v>1</v>
      </c>
      <c r="U85" s="103" t="b">
        <v>0</v>
      </c>
      <c r="V85" s="100" t="s">
        <v>170</v>
      </c>
      <c r="W85" s="100" t="s">
        <v>170</v>
      </c>
      <c r="X85" s="140" t="s">
        <v>232</v>
      </c>
      <c r="Y85" s="100" t="s">
        <v>33</v>
      </c>
      <c r="Z85" s="58">
        <v>0</v>
      </c>
      <c r="AA85" s="59">
        <v>1000</v>
      </c>
      <c r="AB85" s="59">
        <v>2000</v>
      </c>
      <c r="AC85" s="59">
        <v>4000</v>
      </c>
      <c r="AD85" s="59">
        <v>5000</v>
      </c>
      <c r="AE85" s="59">
        <v>6000</v>
      </c>
      <c r="AF85" s="60">
        <v>6714</v>
      </c>
      <c r="AG85" s="58">
        <v>1440</v>
      </c>
      <c r="AH85" s="59">
        <v>1420</v>
      </c>
      <c r="AI85" s="59">
        <v>1380</v>
      </c>
      <c r="AJ85" s="59">
        <v>1160</v>
      </c>
      <c r="AK85" s="59">
        <v>920</v>
      </c>
      <c r="AL85" s="59">
        <v>485</v>
      </c>
      <c r="AM85" s="60">
        <v>45</v>
      </c>
      <c r="AN85" s="61">
        <f>INDEX(LINEST($AG85:$AM85,$Z85:$AF85^Данные!$A$106:$A$110),1,6)</f>
        <v>1439.6120210751226</v>
      </c>
      <c r="AO85" s="74">
        <f>INDEX(LINEST($AG85:$AM85,$Z85:$AF85^Данные!$A$106:$A$110),1,5)</f>
        <v>3.3259971511530812E-3</v>
      </c>
      <c r="AP85" s="74">
        <f>INDEX(LINEST($AG85:$AM85,$Z85:$AF85^Данные!$A$106:$A$110),1,4)</f>
        <v>-2.8409518281638549E-5</v>
      </c>
      <c r="AQ85" s="74">
        <f>INDEX(LINEST($AG85:$AM85,$Z85:$AF85^Данные!$A$106:$A$110),1,3)</f>
        <v>9.1674406750056097E-9</v>
      </c>
      <c r="AR85" s="74">
        <f>INDEX(LINEST($AG85:$AM85,$Z85:$AF85^Данные!$A$106:$A$110),1,2)</f>
        <v>-1.949327325894222E-12</v>
      </c>
      <c r="AS85" s="74">
        <f>INDEX(LINEST($AG85:$AM85,$Z85:$AF85^Данные!$A$106:$A$110),1,1)</f>
        <v>7.6901233119771333E-17</v>
      </c>
      <c r="AT85" s="75">
        <v>0</v>
      </c>
      <c r="AU85" s="54" t="str">
        <f>Производитель_Россия</f>
        <v>Россия</v>
      </c>
      <c r="AV85" s="41"/>
    </row>
    <row r="86" spans="1:48">
      <c r="A86" s="534" t="s">
        <v>749</v>
      </c>
      <c r="B86" s="54" t="e">
        <f>MATCH(A86,Вентиляторы!B$6:B$1864,0)</f>
        <v>#N/A</v>
      </c>
      <c r="C86" s="55" t="e">
        <f ca="1">OFFSET(Вентиляторы!#REF!,B86-1,0)</f>
        <v>#REF!</v>
      </c>
      <c r="D86" s="55" t="e">
        <f t="shared" ca="1" si="18"/>
        <v>#REF!</v>
      </c>
      <c r="E86" s="502" t="e">
        <f ca="1">OFFSET(Вентиляторы!#REF!,B86-1,0)</f>
        <v>#REF!</v>
      </c>
      <c r="F86" s="503" t="s">
        <v>591</v>
      </c>
      <c r="G86" s="56" t="e">
        <f t="shared" si="16"/>
        <v>#REF!</v>
      </c>
      <c r="H86" s="56" t="e">
        <f ca="1">($G86/OFFSET(ПП_Свод!T$3,MATCH(M86,ПП_Свод!B$4:B$213,0),0)-1) &gt; -Задача_Допуск/100</f>
        <v>#REF!</v>
      </c>
      <c r="I86" s="56" t="str">
        <f t="shared" si="14"/>
        <v>800x500=ЛОЖЬ</v>
      </c>
      <c r="J86" s="57" t="e">
        <f t="shared" ca="1" si="15"/>
        <v>#N/A</v>
      </c>
      <c r="K86" s="148">
        <v>800</v>
      </c>
      <c r="L86" s="148">
        <v>500</v>
      </c>
      <c r="M86" s="54" t="str">
        <f t="shared" si="17"/>
        <v>800x500</v>
      </c>
      <c r="N86" s="148">
        <v>880</v>
      </c>
      <c r="O86" s="148">
        <v>79</v>
      </c>
      <c r="P86" s="148" t="s">
        <v>43</v>
      </c>
      <c r="Q86" s="148">
        <v>5</v>
      </c>
      <c r="R86" s="148">
        <v>8.1</v>
      </c>
      <c r="S86" s="103" t="s">
        <v>459</v>
      </c>
      <c r="T86" s="103" t="b">
        <v>0</v>
      </c>
      <c r="U86" s="103" t="b">
        <v>0</v>
      </c>
      <c r="V86" s="100" t="s">
        <v>170</v>
      </c>
      <c r="W86" s="100" t="s">
        <v>15</v>
      </c>
      <c r="X86" s="140" t="s">
        <v>235</v>
      </c>
      <c r="Y86" s="100" t="s">
        <v>33</v>
      </c>
      <c r="Z86" s="58">
        <v>0</v>
      </c>
      <c r="AA86" s="59">
        <v>1500</v>
      </c>
      <c r="AB86" s="59">
        <v>2500</v>
      </c>
      <c r="AC86" s="59">
        <v>3500</v>
      </c>
      <c r="AD86" s="59">
        <v>4500</v>
      </c>
      <c r="AE86" s="59">
        <v>5500</v>
      </c>
      <c r="AF86" s="60">
        <v>6650</v>
      </c>
      <c r="AG86" s="58">
        <v>1150</v>
      </c>
      <c r="AH86" s="59">
        <v>1095</v>
      </c>
      <c r="AI86" s="59">
        <v>1080</v>
      </c>
      <c r="AJ86" s="59">
        <v>1040</v>
      </c>
      <c r="AK86" s="59">
        <v>990</v>
      </c>
      <c r="AL86" s="59">
        <v>900</v>
      </c>
      <c r="AM86" s="60">
        <v>705</v>
      </c>
      <c r="AN86" s="61">
        <f>INDEX(LINEST($AG86:$AM86,$Z86:$AF86^Данные!$A$106:$A$110),1,6)</f>
        <v>1149.9371421475885</v>
      </c>
      <c r="AO86" s="74">
        <f>INDEX(LINEST($AG86:$AM86,$Z86:$AF86^Данные!$A$106:$A$110),1,5)</f>
        <v>-8.7330065335945048E-2</v>
      </c>
      <c r="AP86" s="74">
        <f>INDEX(LINEST($AG86:$AM86,$Z86:$AF86^Данные!$A$106:$A$110),1,4)</f>
        <v>5.9645495068191305E-5</v>
      </c>
      <c r="AQ86" s="74">
        <f>INDEX(LINEST($AG86:$AM86,$Z86:$AF86^Данные!$A$106:$A$110),1,3)</f>
        <v>-2.1552086995834816E-8</v>
      </c>
      <c r="AR86" s="74">
        <f>INDEX(LINEST($AG86:$AM86,$Z86:$AF86^Данные!$A$106:$A$110),1,2)</f>
        <v>3.3378628178642615E-12</v>
      </c>
      <c r="AS86" s="74">
        <f>INDEX(LINEST($AG86:$AM86,$Z86:$AF86^Данные!$A$106:$A$110),1,1)</f>
        <v>-2.0696611574173189E-16</v>
      </c>
      <c r="AT86" s="75">
        <v>0</v>
      </c>
      <c r="AU86" s="54" t="str">
        <f>Производитель_Европа</f>
        <v>Евросоюз</v>
      </c>
      <c r="AV86" s="41"/>
    </row>
    <row r="87" spans="1:48">
      <c r="A87" s="534" t="s">
        <v>750</v>
      </c>
      <c r="B87" s="54" t="e">
        <f>MATCH(A87,Вентиляторы!B$6:B$1864,0)</f>
        <v>#N/A</v>
      </c>
      <c r="C87" s="55" t="e">
        <f ca="1">OFFSET(Вентиляторы!#REF!,B87-1,0)</f>
        <v>#REF!</v>
      </c>
      <c r="D87" s="55" t="e">
        <f t="shared" ca="1" si="18"/>
        <v>#REF!</v>
      </c>
      <c r="E87" s="502" t="e">
        <f ca="1">OFFSET(Вентиляторы!#REF!,B87-1,0)</f>
        <v>#REF!</v>
      </c>
      <c r="F87" s="503" t="s">
        <v>591</v>
      </c>
      <c r="G87" s="56" t="e">
        <f t="shared" si="16"/>
        <v>#REF!</v>
      </c>
      <c r="H87" s="56" t="e">
        <f ca="1">($G87/OFFSET(ПП_Свод!T$3,MATCH(M87,ПП_Свод!B$4:B$213,0),0)-1) &gt; -Задача_Допуск/100</f>
        <v>#REF!</v>
      </c>
      <c r="I87" s="56" t="str">
        <f t="shared" si="14"/>
        <v>800x500=ЛОЖЬ</v>
      </c>
      <c r="J87" s="57" t="e">
        <f t="shared" ca="1" si="15"/>
        <v>#N/A</v>
      </c>
      <c r="K87" s="148">
        <v>800</v>
      </c>
      <c r="L87" s="148">
        <v>500</v>
      </c>
      <c r="M87" s="54" t="str">
        <f t="shared" si="17"/>
        <v>800x500</v>
      </c>
      <c r="N87" s="148">
        <v>880</v>
      </c>
      <c r="O87" s="148">
        <v>59</v>
      </c>
      <c r="P87" s="148" t="s">
        <v>43</v>
      </c>
      <c r="Q87" s="148">
        <v>2.6</v>
      </c>
      <c r="R87" s="148">
        <v>5.01</v>
      </c>
      <c r="S87" s="103" t="s">
        <v>459</v>
      </c>
      <c r="T87" s="103" t="b">
        <v>1</v>
      </c>
      <c r="U87" s="103" t="b">
        <v>0</v>
      </c>
      <c r="V87" s="100" t="s">
        <v>170</v>
      </c>
      <c r="W87" s="100" t="s">
        <v>14</v>
      </c>
      <c r="X87" s="140" t="s">
        <v>233</v>
      </c>
      <c r="Y87" s="100" t="s">
        <v>33</v>
      </c>
      <c r="Z87" s="58">
        <v>0</v>
      </c>
      <c r="AA87" s="59">
        <v>1000</v>
      </c>
      <c r="AB87" s="59">
        <v>2500</v>
      </c>
      <c r="AC87" s="59">
        <v>4000</v>
      </c>
      <c r="AD87" s="59">
        <v>5000</v>
      </c>
      <c r="AE87" s="59">
        <v>6000</v>
      </c>
      <c r="AF87" s="60">
        <v>7200</v>
      </c>
      <c r="AG87" s="58">
        <v>503</v>
      </c>
      <c r="AH87" s="59">
        <v>467</v>
      </c>
      <c r="AI87" s="59">
        <v>490</v>
      </c>
      <c r="AJ87" s="59">
        <v>452</v>
      </c>
      <c r="AK87" s="59">
        <v>360</v>
      </c>
      <c r="AL87" s="59">
        <v>208</v>
      </c>
      <c r="AM87" s="60">
        <v>0</v>
      </c>
      <c r="AN87" s="61">
        <f>INDEX(LINEST($AG87:$AM87,$Z87:$AF87^Данные!$A$106:$A$110),1,6)</f>
        <v>502.91061595077213</v>
      </c>
      <c r="AO87" s="74">
        <f>INDEX(LINEST($AG87:$AM87,$Z87:$AF87^Данные!$A$106:$A$110),1,5)</f>
        <v>-8.4044195770226288E-2</v>
      </c>
      <c r="AP87" s="74">
        <f>INDEX(LINEST($AG87:$AM87,$Z87:$AF87^Данные!$A$106:$A$110),1,4)</f>
        <v>6.174962509125455E-5</v>
      </c>
      <c r="AQ87" s="74">
        <f>INDEX(LINEST($AG87:$AM87,$Z87:$AF87^Данные!$A$106:$A$110),1,3)</f>
        <v>-1.4005661573874358E-8</v>
      </c>
      <c r="AR87" s="74">
        <f>INDEX(LINEST($AG87:$AM87,$Z87:$AF87^Данные!$A$106:$A$110),1,2)</f>
        <v>7.2651493973132568E-13</v>
      </c>
      <c r="AS87" s="74">
        <f>INDEX(LINEST($AG87:$AM87,$Z87:$AF87^Данные!$A$106:$A$110),1,1)</f>
        <v>9.1041335447351885E-18</v>
      </c>
      <c r="AT87" s="75">
        <v>0</v>
      </c>
      <c r="AU87" s="54" t="str">
        <f>Производитель_Европа</f>
        <v>Евросоюз</v>
      </c>
      <c r="AV87" s="41"/>
    </row>
    <row r="88" spans="1:48">
      <c r="A88" s="534" t="s">
        <v>751</v>
      </c>
      <c r="B88" s="54" t="e">
        <f>MATCH(A88,Вентиляторы!B$6:B$1864,0)</f>
        <v>#N/A</v>
      </c>
      <c r="C88" s="55" t="e">
        <f ca="1">OFFSET(Вентиляторы!#REF!,B88-1,0)</f>
        <v>#REF!</v>
      </c>
      <c r="D88" s="55" t="e">
        <f t="shared" ref="D88:D98" ca="1" si="19">MID(C88,SEARCH("LV-",C88,1),IFERROR(SEARCH("(",C88,1),LEN(C88)+2)-SEARCH("LV-",C88,1)-1)</f>
        <v>#REF!</v>
      </c>
      <c r="E88" s="502" t="e">
        <f ca="1">OFFSET(Вентиляторы!#REF!,B88-1,0)</f>
        <v>#REF!</v>
      </c>
      <c r="F88" s="503" t="s">
        <v>591</v>
      </c>
      <c r="G88" s="56" t="e">
        <f t="shared" si="16"/>
        <v>#REF!</v>
      </c>
      <c r="H88" s="56" t="e">
        <f ca="1">($G88/OFFSET(ПП_Свод!T$3,MATCH(M88,ПП_Свод!B$4:B$213,0),0)-1) &gt; -Задача_Допуск/100</f>
        <v>#REF!</v>
      </c>
      <c r="I88" s="56" t="str">
        <f t="shared" si="14"/>
        <v>800x500=ЛОЖЬ</v>
      </c>
      <c r="J88" s="57" t="e">
        <f t="shared" ca="1" si="15"/>
        <v>#N/A</v>
      </c>
      <c r="K88" s="148">
        <v>800</v>
      </c>
      <c r="L88" s="148">
        <v>500</v>
      </c>
      <c r="M88" s="54" t="str">
        <f t="shared" si="17"/>
        <v>800x500</v>
      </c>
      <c r="N88" s="148">
        <v>880</v>
      </c>
      <c r="O88" s="148">
        <v>129</v>
      </c>
      <c r="P88" s="148" t="s">
        <v>43</v>
      </c>
      <c r="Q88" s="148">
        <v>4.7450000000000001</v>
      </c>
      <c r="R88" s="148">
        <v>8.1</v>
      </c>
      <c r="S88" s="103" t="s">
        <v>459</v>
      </c>
      <c r="T88" s="103" t="b">
        <v>1</v>
      </c>
      <c r="U88" s="103" t="b">
        <v>0</v>
      </c>
      <c r="V88" s="100" t="s">
        <v>170</v>
      </c>
      <c r="W88" s="100" t="s">
        <v>15</v>
      </c>
      <c r="X88" s="140" t="s">
        <v>235</v>
      </c>
      <c r="Y88" s="100" t="s">
        <v>33</v>
      </c>
      <c r="Z88" s="58">
        <v>0</v>
      </c>
      <c r="AA88" s="59">
        <v>2000</v>
      </c>
      <c r="AB88" s="59">
        <v>3000</v>
      </c>
      <c r="AC88" s="59">
        <v>3500</v>
      </c>
      <c r="AD88" s="59">
        <v>5000</v>
      </c>
      <c r="AE88" s="59">
        <v>6000</v>
      </c>
      <c r="AF88" s="60">
        <v>6610</v>
      </c>
      <c r="AG88" s="58">
        <v>1150</v>
      </c>
      <c r="AH88" s="59">
        <v>1080</v>
      </c>
      <c r="AI88" s="59">
        <v>1055</v>
      </c>
      <c r="AJ88" s="59">
        <v>1050</v>
      </c>
      <c r="AK88" s="59">
        <v>960</v>
      </c>
      <c r="AL88" s="59">
        <v>830</v>
      </c>
      <c r="AM88" s="60">
        <v>705</v>
      </c>
      <c r="AN88" s="61">
        <f>INDEX(LINEST($AG88:$AM88,$Z88:$AF88^Данные!$A$106:$A$110),1,6)</f>
        <v>1150.0276131984385</v>
      </c>
      <c r="AO88" s="74">
        <f>INDEX(LINEST($AG88:$AM88,$Z88:$AF88^Данные!$A$106:$A$110),1,5)</f>
        <v>-4.1495208595366762E-2</v>
      </c>
      <c r="AP88" s="74">
        <f>INDEX(LINEST($AG88:$AM88,$Z88:$AF88^Данные!$A$106:$A$110),1,4)</f>
        <v>-4.0817517879440607E-6</v>
      </c>
      <c r="AQ88" s="74">
        <f>INDEX(LINEST($AG88:$AM88,$Z88:$AF88^Данные!$A$106:$A$110),1,3)</f>
        <v>5.9281992856798774E-9</v>
      </c>
      <c r="AR88" s="74">
        <f>INDEX(LINEST($AG88:$AM88,$Z88:$AF88^Данные!$A$106:$A$110),1,2)</f>
        <v>-1.3000433942638667E-12</v>
      </c>
      <c r="AS88" s="74">
        <f>INDEX(LINEST($AG88:$AM88,$Z88:$AF88^Данные!$A$106:$A$110),1,1)</f>
        <v>6.1626110017673122E-17</v>
      </c>
      <c r="AT88" s="75">
        <v>0</v>
      </c>
      <c r="AU88" s="63" t="str">
        <f>Производитель_Европа</f>
        <v>Евросоюз</v>
      </c>
      <c r="AV88" s="41"/>
    </row>
    <row r="89" spans="1:48">
      <c r="A89" s="535" t="s">
        <v>752</v>
      </c>
      <c r="B89" s="44" t="e">
        <f>MATCH(A89,Вентиляторы!B$6:B$1864,0)</f>
        <v>#N/A</v>
      </c>
      <c r="C89" s="45" t="e">
        <f ca="1">OFFSET(Вентиляторы!#REF!,B89-1,0)</f>
        <v>#REF!</v>
      </c>
      <c r="D89" s="45" t="e">
        <f t="shared" ca="1" si="19"/>
        <v>#REF!</v>
      </c>
      <c r="E89" s="486" t="e">
        <f ca="1">OFFSET(Вентиляторы!#REF!,B89-1,0)</f>
        <v>#REF!</v>
      </c>
      <c r="F89" s="501" t="s">
        <v>591</v>
      </c>
      <c r="G89" s="46" t="e">
        <f t="shared" si="16"/>
        <v>#REF!</v>
      </c>
      <c r="H89" s="46" t="e">
        <f ca="1">($G89/OFFSET(ПП_Свод!T$3,MATCH(M89,ПП_Свод!B$4:B$213,0),0)-1) &gt; -Задача_Допуск/100</f>
        <v>#REF!</v>
      </c>
      <c r="I89" s="46" t="str">
        <f t="shared" si="14"/>
        <v>900x500=ЛОЖЬ</v>
      </c>
      <c r="J89" s="47" t="e">
        <f t="shared" ca="1" si="15"/>
        <v>#N/A</v>
      </c>
      <c r="K89" s="147">
        <v>900</v>
      </c>
      <c r="L89" s="147">
        <v>500</v>
      </c>
      <c r="M89" s="44" t="str">
        <f t="shared" si="17"/>
        <v>900x500</v>
      </c>
      <c r="N89" s="147">
        <v>700</v>
      </c>
      <c r="O89" s="147">
        <v>91</v>
      </c>
      <c r="P89" s="147" t="s">
        <v>43</v>
      </c>
      <c r="Q89" s="147">
        <v>4</v>
      </c>
      <c r="R89" s="147">
        <v>8.1999999999999993</v>
      </c>
      <c r="S89" s="85" t="s">
        <v>459</v>
      </c>
      <c r="T89" s="85" t="b">
        <v>0</v>
      </c>
      <c r="U89" s="85" t="b">
        <v>0</v>
      </c>
      <c r="V89" s="80" t="s">
        <v>170</v>
      </c>
      <c r="W89" s="80" t="s">
        <v>170</v>
      </c>
      <c r="X89" s="139" t="s">
        <v>234</v>
      </c>
      <c r="Y89" s="80" t="s">
        <v>34</v>
      </c>
      <c r="Z89" s="48">
        <v>0</v>
      </c>
      <c r="AA89" s="49">
        <v>1000</v>
      </c>
      <c r="AB89" s="49">
        <v>3000</v>
      </c>
      <c r="AC89" s="49">
        <v>5000</v>
      </c>
      <c r="AD89" s="49">
        <v>7000</v>
      </c>
      <c r="AE89" s="49">
        <v>8500</v>
      </c>
      <c r="AF89" s="50">
        <v>9670</v>
      </c>
      <c r="AG89" s="48">
        <v>1860</v>
      </c>
      <c r="AH89" s="49">
        <v>1830</v>
      </c>
      <c r="AI89" s="49">
        <v>1760</v>
      </c>
      <c r="AJ89" s="49">
        <v>1620</v>
      </c>
      <c r="AK89" s="49">
        <v>1240</v>
      </c>
      <c r="AL89" s="49">
        <v>640</v>
      </c>
      <c r="AM89" s="50">
        <v>40</v>
      </c>
      <c r="AN89" s="51">
        <f>INDEX(LINEST($AG89:$AM89,$Z89:$AF89^Данные!$A$106:$A$110),1,6)</f>
        <v>1858.7811343317865</v>
      </c>
      <c r="AO89" s="72">
        <f>INDEX(LINEST($AG89:$AM89,$Z89:$AF89^Данные!$A$106:$A$110),1,5)</f>
        <v>-2.7716762185739582E-3</v>
      </c>
      <c r="AP89" s="72">
        <f>INDEX(LINEST($AG89:$AM89,$Z89:$AF89^Данные!$A$106:$A$110),1,4)</f>
        <v>-3.3596528368754878E-5</v>
      </c>
      <c r="AQ89" s="72">
        <f>INDEX(LINEST($AG89:$AM89,$Z89:$AF89^Данные!$A$106:$A$110),1,3)</f>
        <v>1.2880444011128302E-8</v>
      </c>
      <c r="AR89" s="72">
        <f>INDEX(LINEST($AG89:$AM89,$Z89:$AF89^Данные!$A$106:$A$110),1,2)</f>
        <v>-2.0090303674501543E-12</v>
      </c>
      <c r="AS89" s="72">
        <f>INDEX(LINEST($AG89:$AM89,$Z89:$AF89^Данные!$A$106:$A$110),1,1)</f>
        <v>8.5959597209414723E-17</v>
      </c>
      <c r="AT89" s="73">
        <v>0</v>
      </c>
      <c r="AU89" s="44" t="str">
        <f>Производитель_Россия</f>
        <v>Россия</v>
      </c>
      <c r="AV89" s="41"/>
    </row>
    <row r="90" spans="1:48">
      <c r="A90" s="536" t="s">
        <v>753</v>
      </c>
      <c r="B90" s="63">
        <f>MATCH(A90,Вентиляторы!B$6:B$1864,0)</f>
        <v>43</v>
      </c>
      <c r="C90" s="69" t="e">
        <f ca="1">OFFSET(Вентиляторы!#REF!,B90-1,0)</f>
        <v>#REF!</v>
      </c>
      <c r="D90" s="69" t="e">
        <f t="shared" ca="1" si="19"/>
        <v>#REF!</v>
      </c>
      <c r="E90" s="504" t="e">
        <f ca="1">OFFSET(Вентиляторы!#REF!,B90-1,0)</f>
        <v>#REF!</v>
      </c>
      <c r="F90" s="505" t="s">
        <v>591</v>
      </c>
      <c r="G90" s="70" t="e">
        <f t="shared" si="16"/>
        <v>#REF!</v>
      </c>
      <c r="H90" s="70" t="e">
        <f ca="1">($G90/OFFSET(ПП_Свод!T$3,MATCH(M90,ПП_Свод!B$4:B$213,0),0)-1) &gt; -Задача_Допуск/100</f>
        <v>#REF!</v>
      </c>
      <c r="I90" s="70" t="str">
        <f t="shared" si="14"/>
        <v>900x500=ЛОЖЬ</v>
      </c>
      <c r="J90" s="71" t="e">
        <f t="shared" ca="1" si="15"/>
        <v>#N/A</v>
      </c>
      <c r="K90" s="149">
        <v>900</v>
      </c>
      <c r="L90" s="149">
        <v>500</v>
      </c>
      <c r="M90" s="63" t="str">
        <f t="shared" si="17"/>
        <v>900x500</v>
      </c>
      <c r="N90" s="149">
        <v>800</v>
      </c>
      <c r="O90" s="149">
        <v>137</v>
      </c>
      <c r="P90" s="149" t="s">
        <v>43</v>
      </c>
      <c r="Q90" s="149">
        <v>4</v>
      </c>
      <c r="R90" s="149">
        <v>8.1999999999999993</v>
      </c>
      <c r="S90" s="95" t="s">
        <v>459</v>
      </c>
      <c r="T90" s="95" t="b">
        <v>1</v>
      </c>
      <c r="U90" s="95" t="b">
        <v>0</v>
      </c>
      <c r="V90" s="90" t="s">
        <v>170</v>
      </c>
      <c r="W90" s="90" t="s">
        <v>170</v>
      </c>
      <c r="X90" s="141" t="s">
        <v>234</v>
      </c>
      <c r="Y90" s="90" t="s">
        <v>34</v>
      </c>
      <c r="Z90" s="64">
        <v>0</v>
      </c>
      <c r="AA90" s="65">
        <v>1000</v>
      </c>
      <c r="AB90" s="65">
        <v>2000</v>
      </c>
      <c r="AC90" s="65">
        <v>4000</v>
      </c>
      <c r="AD90" s="65">
        <v>6000</v>
      </c>
      <c r="AE90" s="65">
        <v>8000</v>
      </c>
      <c r="AF90" s="66">
        <v>9689</v>
      </c>
      <c r="AG90" s="64">
        <v>1860</v>
      </c>
      <c r="AH90" s="65">
        <v>1835</v>
      </c>
      <c r="AI90" s="65">
        <v>1820</v>
      </c>
      <c r="AJ90" s="65">
        <v>1730</v>
      </c>
      <c r="AK90" s="65">
        <v>1490</v>
      </c>
      <c r="AL90" s="65">
        <v>860</v>
      </c>
      <c r="AM90" s="66">
        <v>45</v>
      </c>
      <c r="AN90" s="67">
        <f>INDEX(LINEST($AG90:$AM90,$Z90:$AF90^Данные!$A$106:$A$110),1,6)</f>
        <v>1858.4784929295251</v>
      </c>
      <c r="AO90" s="137">
        <f>INDEX(LINEST($AG90:$AM90,$Z90:$AF90^Данные!$A$106:$A$110),1,5)</f>
        <v>-7.7630053041194652E-4</v>
      </c>
      <c r="AP90" s="137">
        <f>INDEX(LINEST($AG90:$AM90,$Z90:$AF90^Данные!$A$106:$A$110),1,4)</f>
        <v>-2.4818486134502199E-5</v>
      </c>
      <c r="AQ90" s="137">
        <f>INDEX(LINEST($AG90:$AM90,$Z90:$AF90^Данные!$A$106:$A$110),1,3)</f>
        <v>9.9619492125720109E-9</v>
      </c>
      <c r="AR90" s="137">
        <f>INDEX(LINEST($AG90:$AM90,$Z90:$AF90^Данные!$A$106:$A$110),1,2)</f>
        <v>-1.7182503338978246E-12</v>
      </c>
      <c r="AS90" s="137">
        <f>INDEX(LINEST($AG90:$AM90,$Z90:$AF90^Данные!$A$106:$A$110),1,1)</f>
        <v>7.7355873913645736E-17</v>
      </c>
      <c r="AT90" s="138">
        <v>0</v>
      </c>
      <c r="AU90" s="63" t="str">
        <f>Производитель_Россия</f>
        <v>Россия</v>
      </c>
      <c r="AV90" s="41"/>
    </row>
    <row r="91" spans="1:48">
      <c r="A91" s="534" t="s">
        <v>754</v>
      </c>
      <c r="B91" s="54" t="e">
        <f>MATCH(A91,Вентиляторы!B$6:B$1864,0)</f>
        <v>#N/A</v>
      </c>
      <c r="C91" s="55" t="e">
        <f ca="1">OFFSET(Вентиляторы!#REF!,B91-1,0)</f>
        <v>#REF!</v>
      </c>
      <c r="D91" s="55" t="e">
        <f ca="1">MID(C91,SEARCH("LV-",C91,1),IFERROR(SEARCH("(",C91,1),LEN(C91)+2)-SEARCH("LV-",C91,1)-1)</f>
        <v>#REF!</v>
      </c>
      <c r="E91" s="502" t="e">
        <f ca="1">OFFSET(Вентиляторы!#REF!,B91-1,0)</f>
        <v>#REF!</v>
      </c>
      <c r="F91" s="503" t="s">
        <v>591</v>
      </c>
      <c r="G91" s="56" t="e">
        <f>AN91+Задача_Расход*(AO91+Задача_Расход*(AP91+Задача_Расход*(AQ91+Задача_Расход*(AR91+Задача_Расход*(AS91+Задача_Расход*AT91)))))</f>
        <v>#REF!</v>
      </c>
      <c r="H91" s="56" t="e">
        <f ca="1">($G91/OFFSET(ПП_Свод!T$3,MATCH(M91,ПП_Свод!B$4:B$213,0),0)-1) &gt; -Задача_Допуск/100</f>
        <v>#REF!</v>
      </c>
      <c r="I91" s="56" t="str">
        <f t="shared" si="14"/>
        <v>1000x500=ЛОЖЬ</v>
      </c>
      <c r="J91" s="57" t="e">
        <f t="shared" ca="1" si="15"/>
        <v>#N/A</v>
      </c>
      <c r="K91" s="148">
        <v>1000</v>
      </c>
      <c r="L91" s="148">
        <v>500</v>
      </c>
      <c r="M91" s="54" t="str">
        <f>IF(L91&gt;0,IF(K91&gt;0,CONCATENATE(K91,"x",L91),L91),CONCATENATE("Ø",K91))</f>
        <v>1000x500</v>
      </c>
      <c r="N91" s="148">
        <v>700</v>
      </c>
      <c r="O91" s="148">
        <v>95</v>
      </c>
      <c r="P91" s="148" t="s">
        <v>43</v>
      </c>
      <c r="Q91" s="148">
        <v>4</v>
      </c>
      <c r="R91" s="148">
        <v>8.1999999999999993</v>
      </c>
      <c r="S91" s="103" t="s">
        <v>459</v>
      </c>
      <c r="T91" s="103" t="b">
        <v>0</v>
      </c>
      <c r="U91" s="103" t="b">
        <v>0</v>
      </c>
      <c r="V91" s="100" t="s">
        <v>170</v>
      </c>
      <c r="W91" s="100" t="s">
        <v>170</v>
      </c>
      <c r="X91" s="140" t="s">
        <v>234</v>
      </c>
      <c r="Y91" s="100" t="s">
        <v>35</v>
      </c>
      <c r="Z91" s="58">
        <v>0</v>
      </c>
      <c r="AA91" s="59">
        <v>1000</v>
      </c>
      <c r="AB91" s="59">
        <v>3000</v>
      </c>
      <c r="AC91" s="59">
        <v>5000</v>
      </c>
      <c r="AD91" s="59">
        <v>7000</v>
      </c>
      <c r="AE91" s="59">
        <v>8500</v>
      </c>
      <c r="AF91" s="60">
        <v>9670</v>
      </c>
      <c r="AG91" s="58">
        <v>1860</v>
      </c>
      <c r="AH91" s="59">
        <v>1830</v>
      </c>
      <c r="AI91" s="59">
        <v>1760</v>
      </c>
      <c r="AJ91" s="59">
        <v>1620</v>
      </c>
      <c r="AK91" s="59">
        <v>1240</v>
      </c>
      <c r="AL91" s="59">
        <v>640</v>
      </c>
      <c r="AM91" s="60">
        <v>40</v>
      </c>
      <c r="AN91" s="61">
        <f>INDEX(LINEST($AG91:$AM91,$Z91:$AF91^Данные!$A$106:$A$110),1,6)</f>
        <v>1858.7811343317865</v>
      </c>
      <c r="AO91" s="74">
        <f>INDEX(LINEST($AG91:$AM91,$Z91:$AF91^Данные!$A$106:$A$110),1,5)</f>
        <v>-2.7716762185739582E-3</v>
      </c>
      <c r="AP91" s="74">
        <f>INDEX(LINEST($AG91:$AM91,$Z91:$AF91^Данные!$A$106:$A$110),1,4)</f>
        <v>-3.3596528368754878E-5</v>
      </c>
      <c r="AQ91" s="74">
        <f>INDEX(LINEST($AG91:$AM91,$Z91:$AF91^Данные!$A$106:$A$110),1,3)</f>
        <v>1.2880444011128302E-8</v>
      </c>
      <c r="AR91" s="74">
        <f>INDEX(LINEST($AG91:$AM91,$Z91:$AF91^Данные!$A$106:$A$110),1,2)</f>
        <v>-2.0090303674501543E-12</v>
      </c>
      <c r="AS91" s="74">
        <f>INDEX(LINEST($AG91:$AM91,$Z91:$AF91^Данные!$A$106:$A$110),1,1)</f>
        <v>8.5959597209414723E-17</v>
      </c>
      <c r="AT91" s="75">
        <v>0</v>
      </c>
      <c r="AU91" s="44" t="str">
        <f>Производитель_Россия</f>
        <v>Россия</v>
      </c>
      <c r="AV91" s="41"/>
    </row>
    <row r="92" spans="1:48">
      <c r="A92" s="534" t="s">
        <v>755</v>
      </c>
      <c r="B92" s="54" t="e">
        <f>MATCH(A92,Вентиляторы!B$6:B$1864,0)</f>
        <v>#N/A</v>
      </c>
      <c r="C92" s="55" t="e">
        <f ca="1">OFFSET(Вентиляторы!#REF!,B92-1,0)</f>
        <v>#REF!</v>
      </c>
      <c r="D92" s="55" t="e">
        <f t="shared" ca="1" si="19"/>
        <v>#REF!</v>
      </c>
      <c r="E92" s="502" t="e">
        <f ca="1">OFFSET(Вентиляторы!#REF!,B92-1,0)</f>
        <v>#REF!</v>
      </c>
      <c r="F92" s="503" t="s">
        <v>591</v>
      </c>
      <c r="G92" s="56" t="e">
        <f t="shared" si="16"/>
        <v>#REF!</v>
      </c>
      <c r="H92" s="56" t="e">
        <f ca="1">($G92/OFFSET(ПП_Свод!T$3,MATCH(M92,ПП_Свод!B$4:B$213,0),0)-1) &gt; -Задача_Допуск/100</f>
        <v>#REF!</v>
      </c>
      <c r="I92" s="56" t="str">
        <f t="shared" si="14"/>
        <v>1000x500=ЛОЖЬ</v>
      </c>
      <c r="J92" s="57" t="e">
        <f t="shared" ca="1" si="15"/>
        <v>#N/A</v>
      </c>
      <c r="K92" s="148">
        <v>1000</v>
      </c>
      <c r="L92" s="148">
        <v>500</v>
      </c>
      <c r="M92" s="54" t="str">
        <f t="shared" si="17"/>
        <v>1000x500</v>
      </c>
      <c r="N92" s="148">
        <v>980</v>
      </c>
      <c r="O92" s="148">
        <v>64</v>
      </c>
      <c r="P92" s="148" t="s">
        <v>43</v>
      </c>
      <c r="Q92" s="148">
        <v>1.1399999999999999</v>
      </c>
      <c r="R92" s="148">
        <v>2.4</v>
      </c>
      <c r="S92" s="103" t="s">
        <v>459</v>
      </c>
      <c r="T92" s="103" t="b">
        <v>0</v>
      </c>
      <c r="U92" s="103" t="b">
        <v>0</v>
      </c>
      <c r="V92" s="100" t="s">
        <v>170</v>
      </c>
      <c r="W92" s="100" t="s">
        <v>12</v>
      </c>
      <c r="X92" s="140" t="s">
        <v>231</v>
      </c>
      <c r="Y92" s="100" t="s">
        <v>35</v>
      </c>
      <c r="Z92" s="58">
        <v>0</v>
      </c>
      <c r="AA92" s="59">
        <v>500</v>
      </c>
      <c r="AB92" s="59">
        <v>1500</v>
      </c>
      <c r="AC92" s="59">
        <v>2500</v>
      </c>
      <c r="AD92" s="59">
        <v>3500</v>
      </c>
      <c r="AE92" s="59">
        <v>4500</v>
      </c>
      <c r="AF92" s="60">
        <v>5450</v>
      </c>
      <c r="AG92" s="58">
        <v>250</v>
      </c>
      <c r="AH92" s="59">
        <v>245</v>
      </c>
      <c r="AI92" s="59">
        <v>250</v>
      </c>
      <c r="AJ92" s="59">
        <v>245</v>
      </c>
      <c r="AK92" s="59">
        <v>200</v>
      </c>
      <c r="AL92" s="59">
        <v>120</v>
      </c>
      <c r="AM92" s="60">
        <v>0</v>
      </c>
      <c r="AN92" s="61">
        <f>INDEX(LINEST($AG92:$AM92,$Z92:$AF92^Данные!$A$106:$A$110),1,6)</f>
        <v>250.27230252724041</v>
      </c>
      <c r="AO92" s="74">
        <f>INDEX(LINEST($AG92:$AM92,$Z92:$AF92^Данные!$A$106:$A$110),1,5)</f>
        <v>-2.7838002095710069E-2</v>
      </c>
      <c r="AP92" s="74">
        <f>INDEX(LINEST($AG92:$AM92,$Z92:$AF92^Данные!$A$106:$A$110),1,4)</f>
        <v>3.9637298118849133E-5</v>
      </c>
      <c r="AQ92" s="74">
        <f>INDEX(LINEST($AG92:$AM92,$Z92:$AF92^Данные!$A$106:$A$110),1,3)</f>
        <v>-1.7234232394269927E-8</v>
      </c>
      <c r="AR92" s="74">
        <f>INDEX(LINEST($AG92:$AM92,$Z92:$AF92^Данные!$A$106:$A$110),1,2)</f>
        <v>2.536805383650016E-12</v>
      </c>
      <c r="AS92" s="74">
        <f>INDEX(LINEST($AG92:$AM92,$Z92:$AF92^Данные!$A$106:$A$110),1,1)</f>
        <v>-1.5058033180832783E-16</v>
      </c>
      <c r="AT92" s="75">
        <v>0</v>
      </c>
      <c r="AU92" s="54" t="str">
        <f>Производитель_Европа</f>
        <v>Евросоюз</v>
      </c>
      <c r="AV92" s="41"/>
    </row>
    <row r="93" spans="1:48">
      <c r="A93" s="534" t="s">
        <v>756</v>
      </c>
      <c r="B93" s="54" t="e">
        <f>MATCH(A93,Вентиляторы!B$6:B$1864,0)</f>
        <v>#N/A</v>
      </c>
      <c r="C93" s="55" t="e">
        <f ca="1">OFFSET(Вентиляторы!#REF!,B93-1,0)</f>
        <v>#REF!</v>
      </c>
      <c r="D93" s="55" t="e">
        <f t="shared" ca="1" si="19"/>
        <v>#REF!</v>
      </c>
      <c r="E93" s="502" t="e">
        <f ca="1">OFFSET(Вентиляторы!#REF!,B93-1,0)</f>
        <v>#REF!</v>
      </c>
      <c r="F93" s="503" t="s">
        <v>591</v>
      </c>
      <c r="G93" s="56" t="e">
        <f t="shared" si="16"/>
        <v>#REF!</v>
      </c>
      <c r="H93" s="56" t="e">
        <f ca="1">($G93/OFFSET(ПП_Свод!T$3,MATCH(M93,ПП_Свод!B$4:B$213,0),0)-1) &gt; -Задача_Допуск/100</f>
        <v>#REF!</v>
      </c>
      <c r="I93" s="56" t="str">
        <f t="shared" si="14"/>
        <v>1000x500=ЛОЖЬ</v>
      </c>
      <c r="J93" s="57" t="e">
        <f t="shared" ca="1" si="15"/>
        <v>#N/A</v>
      </c>
      <c r="K93" s="148">
        <v>1000</v>
      </c>
      <c r="L93" s="148">
        <v>500</v>
      </c>
      <c r="M93" s="54" t="str">
        <f t="shared" si="17"/>
        <v>1000x500</v>
      </c>
      <c r="N93" s="148">
        <v>980</v>
      </c>
      <c r="O93" s="148">
        <v>53</v>
      </c>
      <c r="P93" s="148" t="s">
        <v>43</v>
      </c>
      <c r="Q93" s="148">
        <v>2.7</v>
      </c>
      <c r="R93" s="148">
        <v>4.9000000000000004</v>
      </c>
      <c r="S93" s="103" t="s">
        <v>459</v>
      </c>
      <c r="T93" s="103" t="b">
        <v>0</v>
      </c>
      <c r="U93" s="103" t="b">
        <v>0</v>
      </c>
      <c r="V93" s="100" t="s">
        <v>170</v>
      </c>
      <c r="W93" s="100" t="s">
        <v>14</v>
      </c>
      <c r="X93" s="140" t="s">
        <v>233</v>
      </c>
      <c r="Y93" s="100" t="s">
        <v>35</v>
      </c>
      <c r="Z93" s="58">
        <v>0</v>
      </c>
      <c r="AA93" s="59">
        <v>900</v>
      </c>
      <c r="AB93" s="59">
        <v>2000</v>
      </c>
      <c r="AC93" s="59">
        <v>3000</v>
      </c>
      <c r="AD93" s="59">
        <v>4500</v>
      </c>
      <c r="AE93" s="59">
        <v>6000</v>
      </c>
      <c r="AF93" s="60">
        <v>7400</v>
      </c>
      <c r="AG93" s="58">
        <v>548</v>
      </c>
      <c r="AH93" s="59">
        <v>425</v>
      </c>
      <c r="AI93" s="59">
        <v>445</v>
      </c>
      <c r="AJ93" s="59">
        <v>460</v>
      </c>
      <c r="AK93" s="59">
        <v>400</v>
      </c>
      <c r="AL93" s="59">
        <v>240</v>
      </c>
      <c r="AM93" s="60">
        <v>0</v>
      </c>
      <c r="AN93" s="61">
        <f>INDEX(LINEST($AG93:$AM93,$Z93:$AF93^Данные!$A$106:$A$110),1,6)</f>
        <v>547.69440172427858</v>
      </c>
      <c r="AO93" s="74">
        <f>INDEX(LINEST($AG93:$AM93,$Z93:$AF93^Данные!$A$106:$A$110),1,5)</f>
        <v>-0.27200207478297245</v>
      </c>
      <c r="AP93" s="74">
        <f>INDEX(LINEST($AG93:$AM93,$Z93:$AF93^Данные!$A$106:$A$110),1,4)</f>
        <v>1.9800195287274808E-4</v>
      </c>
      <c r="AQ93" s="74">
        <f>INDEX(LINEST($AG93:$AM93,$Z93:$AF93^Данные!$A$106:$A$110),1,3)</f>
        <v>-5.6549471572519542E-8</v>
      </c>
      <c r="AR93" s="74">
        <f>INDEX(LINEST($AG93:$AM93,$Z93:$AF93^Данные!$A$106:$A$110),1,2)</f>
        <v>6.800448614135455E-12</v>
      </c>
      <c r="AS93" s="74">
        <f>INDEX(LINEST($AG93:$AM93,$Z93:$AF93^Данные!$A$106:$A$110),1,1)</f>
        <v>-3.0890177725308272E-16</v>
      </c>
      <c r="AT93" s="75">
        <v>0</v>
      </c>
      <c r="AU93" s="54" t="str">
        <f>Производитель_Европа</f>
        <v>Евросоюз</v>
      </c>
      <c r="AV93" s="41"/>
    </row>
    <row r="94" spans="1:48">
      <c r="A94" s="534" t="s">
        <v>757</v>
      </c>
      <c r="B94" s="54" t="e">
        <f>MATCH(A94,Вентиляторы!B$6:B$1864,0)</f>
        <v>#N/A</v>
      </c>
      <c r="C94" s="55" t="e">
        <f ca="1">OFFSET(Вентиляторы!#REF!,B94-1,0)</f>
        <v>#REF!</v>
      </c>
      <c r="D94" s="55" t="e">
        <f t="shared" ca="1" si="19"/>
        <v>#REF!</v>
      </c>
      <c r="E94" s="502" t="e">
        <f ca="1">OFFSET(Вентиляторы!#REF!,B94-1,0)</f>
        <v>#REF!</v>
      </c>
      <c r="F94" s="503" t="s">
        <v>591</v>
      </c>
      <c r="G94" s="56" t="e">
        <f t="shared" si="16"/>
        <v>#REF!</v>
      </c>
      <c r="H94" s="56" t="e">
        <f ca="1">($G94/OFFSET(ПП_Свод!T$3,MATCH(M94,ПП_Свод!B$4:B$213,0),0)-1) &gt; -Задача_Допуск/100</f>
        <v>#REF!</v>
      </c>
      <c r="I94" s="56" t="str">
        <f t="shared" si="14"/>
        <v>1000x500=ЛОЖЬ</v>
      </c>
      <c r="J94" s="57" t="e">
        <f t="shared" ca="1" si="15"/>
        <v>#N/A</v>
      </c>
      <c r="K94" s="148">
        <v>1000</v>
      </c>
      <c r="L94" s="148">
        <v>500</v>
      </c>
      <c r="M94" s="54" t="str">
        <f t="shared" si="17"/>
        <v>1000x500</v>
      </c>
      <c r="N94" s="148">
        <v>980</v>
      </c>
      <c r="O94" s="148">
        <v>98</v>
      </c>
      <c r="P94" s="148" t="s">
        <v>43</v>
      </c>
      <c r="Q94" s="148">
        <v>5</v>
      </c>
      <c r="R94" s="148">
        <v>8.1</v>
      </c>
      <c r="S94" s="103" t="s">
        <v>459</v>
      </c>
      <c r="T94" s="103" t="b">
        <v>0</v>
      </c>
      <c r="U94" s="103" t="b">
        <v>0</v>
      </c>
      <c r="V94" s="100" t="s">
        <v>170</v>
      </c>
      <c r="W94" s="100" t="s">
        <v>15</v>
      </c>
      <c r="X94" s="140" t="s">
        <v>235</v>
      </c>
      <c r="Y94" s="100" t="s">
        <v>35</v>
      </c>
      <c r="Z94" s="58">
        <v>0</v>
      </c>
      <c r="AA94" s="59">
        <v>1000</v>
      </c>
      <c r="AB94" s="59">
        <v>2000</v>
      </c>
      <c r="AC94" s="59">
        <v>3000</v>
      </c>
      <c r="AD94" s="59">
        <v>4500</v>
      </c>
      <c r="AE94" s="59">
        <v>5500</v>
      </c>
      <c r="AF94" s="60">
        <v>6950</v>
      </c>
      <c r="AG94" s="58">
        <v>1085</v>
      </c>
      <c r="AH94" s="59">
        <v>1080</v>
      </c>
      <c r="AI94" s="59">
        <v>1075</v>
      </c>
      <c r="AJ94" s="59">
        <v>1055</v>
      </c>
      <c r="AK94" s="59">
        <v>980</v>
      </c>
      <c r="AL94" s="59">
        <v>885</v>
      </c>
      <c r="AM94" s="60">
        <v>640</v>
      </c>
      <c r="AN94" s="61">
        <f>INDEX(LINEST($AG94:$AM94,$Z94:$AF94^Данные!$A$106:$A$110),1,6)</f>
        <v>1084.985625624706</v>
      </c>
      <c r="AO94" s="74">
        <f>INDEX(LINEST($AG94:$AM94,$Z94:$AF94^Данные!$A$106:$A$110),1,5)</f>
        <v>-1.184889926993999E-2</v>
      </c>
      <c r="AP94" s="74">
        <f>INDEX(LINEST($AG94:$AM94,$Z94:$AF94^Данные!$A$106:$A$110),1,4)</f>
        <v>1.1575698143510913E-5</v>
      </c>
      <c r="AQ94" s="74">
        <f>INDEX(LINEST($AG94:$AM94,$Z94:$AF94^Данные!$A$106:$A$110),1,3)</f>
        <v>-5.26052456332726E-9</v>
      </c>
      <c r="AR94" s="74">
        <f>INDEX(LINEST($AG94:$AM94,$Z94:$AF94^Данные!$A$106:$A$110),1,2)</f>
        <v>6.7186329891982825E-13</v>
      </c>
      <c r="AS94" s="74">
        <f>INDEX(LINEST($AG94:$AM94,$Z94:$AF94^Данные!$A$106:$A$110),1,1)</f>
        <v>-4.4609260912043178E-17</v>
      </c>
      <c r="AT94" s="75">
        <v>0</v>
      </c>
      <c r="AU94" s="54" t="str">
        <f>Производитель_Европа</f>
        <v>Евросоюз</v>
      </c>
      <c r="AV94" s="41"/>
    </row>
    <row r="95" spans="1:48">
      <c r="A95" s="534" t="s">
        <v>758</v>
      </c>
      <c r="B95" s="54">
        <f>MATCH(A95,Вентиляторы!B$6:B$1864,0)</f>
        <v>45</v>
      </c>
      <c r="C95" s="55" t="e">
        <f ca="1">OFFSET(Вентиляторы!#REF!,B95-1,0)</f>
        <v>#REF!</v>
      </c>
      <c r="D95" s="55" t="e">
        <f ca="1">MID(C95,SEARCH("LV-",C95,1),IFERROR(SEARCH("(",C95,1),LEN(C95)+2)-SEARCH("LV-",C95,1)-1)</f>
        <v>#REF!</v>
      </c>
      <c r="E95" s="502" t="e">
        <f ca="1">OFFSET(Вентиляторы!#REF!,B95-1,0)</f>
        <v>#REF!</v>
      </c>
      <c r="F95" s="503" t="s">
        <v>591</v>
      </c>
      <c r="G95" s="56" t="e">
        <f>AN95+Задача_Расход*(AO95+Задача_Расход*(AP95+Задача_Расход*(AQ95+Задача_Расход*(AR95+Задача_Расход*(AS95+Задача_Расход*AT95)))))</f>
        <v>#REF!</v>
      </c>
      <c r="H95" s="56" t="e">
        <f ca="1">($G95/OFFSET(ПП_Свод!T$3,MATCH(M95,ПП_Свод!B$4:B$213,0),0)-1) &gt; -Задача_Допуск/100</f>
        <v>#REF!</v>
      </c>
      <c r="I95" s="56" t="str">
        <f t="shared" si="14"/>
        <v>1000x500=ЛОЖЬ</v>
      </c>
      <c r="J95" s="57" t="e">
        <f t="shared" ca="1" si="15"/>
        <v>#N/A</v>
      </c>
      <c r="K95" s="148">
        <v>1000</v>
      </c>
      <c r="L95" s="148">
        <v>500</v>
      </c>
      <c r="M95" s="54" t="str">
        <f>IF(L95&gt;0,IF(K95&gt;0,CONCATENATE(K95,"x",L95),L95),CONCATENATE("Ø",K95))</f>
        <v>1000x500</v>
      </c>
      <c r="N95" s="148">
        <v>800</v>
      </c>
      <c r="O95" s="148">
        <v>147</v>
      </c>
      <c r="P95" s="148" t="s">
        <v>43</v>
      </c>
      <c r="Q95" s="148">
        <v>4</v>
      </c>
      <c r="R95" s="148">
        <v>8.1999999999999993</v>
      </c>
      <c r="S95" s="103" t="s">
        <v>459</v>
      </c>
      <c r="T95" s="103" t="b">
        <v>1</v>
      </c>
      <c r="U95" s="103" t="b">
        <v>0</v>
      </c>
      <c r="V95" s="100" t="s">
        <v>170</v>
      </c>
      <c r="W95" s="100" t="s">
        <v>170</v>
      </c>
      <c r="X95" s="140" t="s">
        <v>235</v>
      </c>
      <c r="Y95" s="100" t="s">
        <v>35</v>
      </c>
      <c r="Z95" s="58">
        <v>0</v>
      </c>
      <c r="AA95" s="59">
        <v>1000</v>
      </c>
      <c r="AB95" s="59">
        <v>2000</v>
      </c>
      <c r="AC95" s="59">
        <v>4000</v>
      </c>
      <c r="AD95" s="59">
        <v>6000</v>
      </c>
      <c r="AE95" s="59">
        <v>8000</v>
      </c>
      <c r="AF95" s="60">
        <v>9689</v>
      </c>
      <c r="AG95" s="58">
        <v>1860</v>
      </c>
      <c r="AH95" s="59">
        <v>1835</v>
      </c>
      <c r="AI95" s="59">
        <v>1820</v>
      </c>
      <c r="AJ95" s="59">
        <v>1730</v>
      </c>
      <c r="AK95" s="59">
        <v>1490</v>
      </c>
      <c r="AL95" s="59">
        <v>860</v>
      </c>
      <c r="AM95" s="60">
        <v>45</v>
      </c>
      <c r="AN95" s="61">
        <f>INDEX(LINEST($AG95:$AM95,$Z95:$AF95^Данные!$A$106:$A$110),1,6)</f>
        <v>1858.4784929295251</v>
      </c>
      <c r="AO95" s="74">
        <f>INDEX(LINEST($AG95:$AM95,$Z95:$AF95^Данные!$A$106:$A$110),1,5)</f>
        <v>-7.7630053041194652E-4</v>
      </c>
      <c r="AP95" s="74">
        <f>INDEX(LINEST($AG95:$AM95,$Z95:$AF95^Данные!$A$106:$A$110),1,4)</f>
        <v>-2.4818486134502199E-5</v>
      </c>
      <c r="AQ95" s="74">
        <f>INDEX(LINEST($AG95:$AM95,$Z95:$AF95^Данные!$A$106:$A$110),1,3)</f>
        <v>9.9619492125720109E-9</v>
      </c>
      <c r="AR95" s="74">
        <f>INDEX(LINEST($AG95:$AM95,$Z95:$AF95^Данные!$A$106:$A$110),1,2)</f>
        <v>-1.7182503338978246E-12</v>
      </c>
      <c r="AS95" s="74">
        <f>INDEX(LINEST($AG95:$AM95,$Z95:$AF95^Данные!$A$106:$A$110),1,1)</f>
        <v>7.7355873913645736E-17</v>
      </c>
      <c r="AT95" s="75">
        <v>0</v>
      </c>
      <c r="AU95" s="54" t="str">
        <f>Производитель_Россия</f>
        <v>Россия</v>
      </c>
      <c r="AV95" s="41"/>
    </row>
    <row r="96" spans="1:48">
      <c r="A96" s="534" t="s">
        <v>759</v>
      </c>
      <c r="B96" s="54" t="e">
        <f>MATCH(A96,Вентиляторы!B$6:B$1864,0)</f>
        <v>#N/A</v>
      </c>
      <c r="C96" s="55" t="e">
        <f ca="1">OFFSET(Вентиляторы!#REF!,B96-1,0)</f>
        <v>#REF!</v>
      </c>
      <c r="D96" s="55" t="e">
        <f ca="1">MID(C96,SEARCH("LV-",C96,1),IFERROR(SEARCH("(",C96,1),LEN(C96)+2)-SEARCH("LV-",C96,1)-1)</f>
        <v>#REF!</v>
      </c>
      <c r="E96" s="502" t="e">
        <f ca="1">OFFSET(Вентиляторы!#REF!,B96-1,0)</f>
        <v>#REF!</v>
      </c>
      <c r="F96" s="503" t="s">
        <v>591</v>
      </c>
      <c r="G96" s="56" t="e">
        <f>AN96+Задача_Расход*(AO96+Задача_Расход*(AP96+Задача_Расход*(AQ96+Задача_Расход*(AR96+Задача_Расход*(AS96+Задача_Расход*AT96)))))</f>
        <v>#REF!</v>
      </c>
      <c r="H96" s="56" t="e">
        <f ca="1">($G96/OFFSET(ПП_Свод!T$3,MATCH(M96,ПП_Свод!B$4:B$213,0),0)-1) &gt; -Задача_Допуск/100</f>
        <v>#REF!</v>
      </c>
      <c r="I96" s="56" t="str">
        <f t="shared" si="14"/>
        <v>1000x500=ЛОЖЬ</v>
      </c>
      <c r="J96" s="57" t="e">
        <f t="shared" ca="1" si="15"/>
        <v>#N/A</v>
      </c>
      <c r="K96" s="148">
        <v>1000</v>
      </c>
      <c r="L96" s="148">
        <v>500</v>
      </c>
      <c r="M96" s="54" t="str">
        <f>IF(L96&gt;0,IF(K96&gt;0,CONCATENATE(K96,"x",L96),L96),CONCATENATE("Ø",K96))</f>
        <v>1000x500</v>
      </c>
      <c r="N96" s="148">
        <v>980</v>
      </c>
      <c r="O96" s="148">
        <v>85</v>
      </c>
      <c r="P96" s="148" t="s">
        <v>43</v>
      </c>
      <c r="Q96" s="148">
        <v>1.79</v>
      </c>
      <c r="R96" s="148">
        <v>3.43</v>
      </c>
      <c r="S96" s="103" t="s">
        <v>459</v>
      </c>
      <c r="T96" s="103" t="b">
        <v>0</v>
      </c>
      <c r="U96" s="103" t="b">
        <v>0</v>
      </c>
      <c r="V96" s="100" t="s">
        <v>170</v>
      </c>
      <c r="W96" s="100" t="s">
        <v>13</v>
      </c>
      <c r="X96" s="140" t="s">
        <v>232</v>
      </c>
      <c r="Y96" s="100" t="s">
        <v>35</v>
      </c>
      <c r="Z96" s="58">
        <v>0</v>
      </c>
      <c r="AA96" s="59">
        <v>1000</v>
      </c>
      <c r="AB96" s="59">
        <v>3000</v>
      </c>
      <c r="AC96" s="59">
        <v>5000</v>
      </c>
      <c r="AD96" s="59">
        <v>7000</v>
      </c>
      <c r="AE96" s="59">
        <v>8000</v>
      </c>
      <c r="AF96" s="60">
        <v>9440</v>
      </c>
      <c r="AG96" s="58">
        <v>880</v>
      </c>
      <c r="AH96" s="59">
        <v>820</v>
      </c>
      <c r="AI96" s="59">
        <v>670</v>
      </c>
      <c r="AJ96" s="59">
        <v>490</v>
      </c>
      <c r="AK96" s="59">
        <v>280</v>
      </c>
      <c r="AL96" s="59">
        <v>175</v>
      </c>
      <c r="AM96" s="60">
        <v>0</v>
      </c>
      <c r="AN96" s="61">
        <f>INDEX(LINEST($AG96:$AM96,$Z96:$AF96^Данные!$A$106:$A$110),1,6)</f>
        <v>880.26677908584134</v>
      </c>
      <c r="AO96" s="74">
        <f>INDEX(LINEST($AG96:$AM96,$Z96:$AF96^Данные!$A$106:$A$110),1,5)</f>
        <v>-5.8311347685554869E-2</v>
      </c>
      <c r="AP96" s="74">
        <f>INDEX(LINEST($AG96:$AM96,$Z96:$AF96^Данные!$A$106:$A$110),1,4)</f>
        <v>-1.732076572553855E-6</v>
      </c>
      <c r="AQ96" s="74">
        <f>INDEX(LINEST($AG96:$AM96,$Z96:$AF96^Данные!$A$106:$A$110),1,3)</f>
        <v>-1.1389531693155601E-9</v>
      </c>
      <c r="AR96" s="74">
        <f>INDEX(LINEST($AG96:$AM96,$Z96:$AF96^Данные!$A$106:$A$110),1,2)</f>
        <v>1.780451628416448E-13</v>
      </c>
      <c r="AS96" s="74">
        <f>INDEX(LINEST($AG96:$AM96,$Z96:$AF96^Данные!$A$106:$A$110),1,1)</f>
        <v>-8.4167769282854658E-18</v>
      </c>
      <c r="AT96" s="75">
        <v>0</v>
      </c>
      <c r="AU96" s="54" t="str">
        <f t="shared" ref="AU96:AU107" si="20">Производитель_Европа</f>
        <v>Евросоюз</v>
      </c>
      <c r="AV96" s="41"/>
    </row>
    <row r="97" spans="1:48">
      <c r="A97" s="534" t="s">
        <v>760</v>
      </c>
      <c r="B97" s="54" t="e">
        <f>MATCH(A97,Вентиляторы!B$6:B$1864,0)</f>
        <v>#N/A</v>
      </c>
      <c r="C97" s="55" t="e">
        <f ca="1">OFFSET(Вентиляторы!#REF!,B97-1,0)</f>
        <v>#REF!</v>
      </c>
      <c r="D97" s="55" t="e">
        <f t="shared" ca="1" si="19"/>
        <v>#REF!</v>
      </c>
      <c r="E97" s="502" t="e">
        <f ca="1">OFFSET(Вентиляторы!#REF!,B97-1,0)</f>
        <v>#REF!</v>
      </c>
      <c r="F97" s="503" t="s">
        <v>591</v>
      </c>
      <c r="G97" s="56" t="e">
        <f t="shared" si="16"/>
        <v>#REF!</v>
      </c>
      <c r="H97" s="56" t="e">
        <f ca="1">($G97/OFFSET(ПП_Свод!T$3,MATCH(M97,ПП_Свод!B$4:B$213,0),0)-1) &gt; -Задача_Допуск/100</f>
        <v>#REF!</v>
      </c>
      <c r="I97" s="56" t="str">
        <f t="shared" si="14"/>
        <v>1000x500=ЛОЖЬ</v>
      </c>
      <c r="J97" s="57" t="e">
        <f t="shared" ca="1" si="15"/>
        <v>#N/A</v>
      </c>
      <c r="K97" s="148">
        <v>1000</v>
      </c>
      <c r="L97" s="148">
        <v>500</v>
      </c>
      <c r="M97" s="54" t="str">
        <f t="shared" si="17"/>
        <v>1000x500</v>
      </c>
      <c r="N97" s="148">
        <v>980</v>
      </c>
      <c r="O97" s="148">
        <v>60</v>
      </c>
      <c r="P97" s="148" t="s">
        <v>43</v>
      </c>
      <c r="Q97" s="148">
        <v>2.7869999999999999</v>
      </c>
      <c r="R97" s="148">
        <v>5.2</v>
      </c>
      <c r="S97" s="103" t="s">
        <v>459</v>
      </c>
      <c r="T97" s="103" t="b">
        <v>1</v>
      </c>
      <c r="U97" s="103" t="b">
        <v>0</v>
      </c>
      <c r="V97" s="100" t="s">
        <v>170</v>
      </c>
      <c r="W97" s="100" t="s">
        <v>14</v>
      </c>
      <c r="X97" s="140" t="s">
        <v>233</v>
      </c>
      <c r="Y97" s="100" t="s">
        <v>35</v>
      </c>
      <c r="Z97" s="58">
        <v>0</v>
      </c>
      <c r="AA97" s="59">
        <v>200</v>
      </c>
      <c r="AB97" s="59">
        <v>800</v>
      </c>
      <c r="AC97" s="59">
        <v>2500</v>
      </c>
      <c r="AD97" s="59">
        <v>4000</v>
      </c>
      <c r="AE97" s="59">
        <v>6000</v>
      </c>
      <c r="AF97" s="60">
        <v>7300</v>
      </c>
      <c r="AG97" s="58">
        <v>480</v>
      </c>
      <c r="AH97" s="59">
        <v>470</v>
      </c>
      <c r="AI97" s="59">
        <v>452</v>
      </c>
      <c r="AJ97" s="59">
        <v>505</v>
      </c>
      <c r="AK97" s="59">
        <v>460</v>
      </c>
      <c r="AL97" s="59">
        <v>240</v>
      </c>
      <c r="AM97" s="60">
        <v>0</v>
      </c>
      <c r="AN97" s="61">
        <f>INDEX(LINEST($AG97:$AM97,$Z97:$AF97^Данные!$A$106:$A$110),1,6)</f>
        <v>482.4419727722244</v>
      </c>
      <c r="AO97" s="74">
        <f>INDEX(LINEST($AG97:$AM97,$Z97:$AF97^Данные!$A$106:$A$110),1,5)</f>
        <v>-0.10256046687181644</v>
      </c>
      <c r="AP97" s="74">
        <f>INDEX(LINEST($AG97:$AM97,$Z97:$AF97^Данные!$A$106:$A$110),1,4)</f>
        <v>1.0972570238409981E-4</v>
      </c>
      <c r="AQ97" s="74">
        <f>INDEX(LINEST($AG97:$AM97,$Z97:$AF97^Данные!$A$106:$A$110),1,3)</f>
        <v>-3.6056003870516585E-8</v>
      </c>
      <c r="AR97" s="74">
        <f>INDEX(LINEST($AG97:$AM97,$Z97:$AF97^Данные!$A$106:$A$110),1,2)</f>
        <v>4.5189981246088019E-12</v>
      </c>
      <c r="AS97" s="74">
        <f>INDEX(LINEST($AG97:$AM97,$Z97:$AF97^Данные!$A$106:$A$110),1,1)</f>
        <v>-2.1165549301082083E-16</v>
      </c>
      <c r="AT97" s="75">
        <v>0</v>
      </c>
      <c r="AU97" s="54" t="str">
        <f t="shared" si="20"/>
        <v>Евросоюз</v>
      </c>
      <c r="AV97" s="41"/>
    </row>
    <row r="98" spans="1:48">
      <c r="A98" s="534" t="s">
        <v>761</v>
      </c>
      <c r="B98" s="54" t="e">
        <f>MATCH(A98,Вентиляторы!B$6:B$1864,0)</f>
        <v>#N/A</v>
      </c>
      <c r="C98" s="55" t="e">
        <f ca="1">OFFSET(Вентиляторы!#REF!,B98-1,0)</f>
        <v>#REF!</v>
      </c>
      <c r="D98" s="55" t="e">
        <f t="shared" ca="1" si="19"/>
        <v>#REF!</v>
      </c>
      <c r="E98" s="502" t="e">
        <f ca="1">OFFSET(Вентиляторы!#REF!,B98-1,0)</f>
        <v>#REF!</v>
      </c>
      <c r="F98" s="503" t="s">
        <v>591</v>
      </c>
      <c r="G98" s="56" t="e">
        <f t="shared" si="16"/>
        <v>#REF!</v>
      </c>
      <c r="H98" s="56" t="e">
        <f ca="1">($G98/OFFSET(ПП_Свод!T$3,MATCH(M98,ПП_Свод!B$4:B$213,0),0)-1) &gt; -Задача_Допуск/100</f>
        <v>#REF!</v>
      </c>
      <c r="I98" s="56" t="str">
        <f t="shared" si="14"/>
        <v>1000x500=ЛОЖЬ</v>
      </c>
      <c r="J98" s="57" t="e">
        <f t="shared" ca="1" si="15"/>
        <v>#N/A</v>
      </c>
      <c r="K98" s="148">
        <v>1000</v>
      </c>
      <c r="L98" s="148">
        <v>500</v>
      </c>
      <c r="M98" s="54" t="str">
        <f t="shared" si="17"/>
        <v>1000x500</v>
      </c>
      <c r="N98" s="148">
        <v>980</v>
      </c>
      <c r="O98" s="148">
        <v>111</v>
      </c>
      <c r="P98" s="148" t="s">
        <v>43</v>
      </c>
      <c r="Q98" s="148">
        <v>4.806</v>
      </c>
      <c r="R98" s="148">
        <v>8.1</v>
      </c>
      <c r="S98" s="103" t="s">
        <v>459</v>
      </c>
      <c r="T98" s="103" t="b">
        <v>1</v>
      </c>
      <c r="U98" s="103" t="b">
        <v>0</v>
      </c>
      <c r="V98" s="100" t="s">
        <v>170</v>
      </c>
      <c r="W98" s="100" t="s">
        <v>15</v>
      </c>
      <c r="X98" s="140" t="s">
        <v>235</v>
      </c>
      <c r="Y98" s="100" t="s">
        <v>35</v>
      </c>
      <c r="Z98" s="58">
        <v>0</v>
      </c>
      <c r="AA98" s="59">
        <v>1000</v>
      </c>
      <c r="AB98" s="59">
        <v>2000</v>
      </c>
      <c r="AC98" s="59">
        <v>3500</v>
      </c>
      <c r="AD98" s="59">
        <v>5000</v>
      </c>
      <c r="AE98" s="59">
        <v>6000</v>
      </c>
      <c r="AF98" s="60">
        <v>6950</v>
      </c>
      <c r="AG98" s="58">
        <v>1085</v>
      </c>
      <c r="AH98" s="59">
        <v>1080</v>
      </c>
      <c r="AI98" s="59">
        <v>1073</v>
      </c>
      <c r="AJ98" s="59">
        <v>1055</v>
      </c>
      <c r="AK98" s="59">
        <v>950</v>
      </c>
      <c r="AL98" s="59">
        <v>820</v>
      </c>
      <c r="AM98" s="60">
        <v>640</v>
      </c>
      <c r="AN98" s="61">
        <f>INDEX(LINEST($AG98:$AM98,$Z98:$AF98^Данные!$A$106:$A$110),1,6)</f>
        <v>1085.296841362768</v>
      </c>
      <c r="AO98" s="74">
        <f>INDEX(LINEST($AG98:$AM98,$Z98:$AF98^Данные!$A$106:$A$110),1,5)</f>
        <v>-8.7739869964713127E-3</v>
      </c>
      <c r="AP98" s="74">
        <f>INDEX(LINEST($AG98:$AM98,$Z98:$AF98^Данные!$A$106:$A$110),1,4)</f>
        <v>6.7746587066456378E-7</v>
      </c>
      <c r="AQ98" s="74">
        <f>INDEX(LINEST($AG98:$AM98,$Z98:$AF98^Данные!$A$106:$A$110),1,3)</f>
        <v>2.1814029105864722E-9</v>
      </c>
      <c r="AR98" s="74">
        <f>INDEX(LINEST($AG98:$AM98,$Z98:$AF98^Данные!$A$106:$A$110),1,2)</f>
        <v>-8.9606181320331169E-13</v>
      </c>
      <c r="AS98" s="74">
        <f>INDEX(LINEST($AG98:$AM98,$Z98:$AF98^Данные!$A$106:$A$110),1,1)</f>
        <v>5.8069862429910744E-17</v>
      </c>
      <c r="AT98" s="75">
        <v>0</v>
      </c>
      <c r="AU98" s="63" t="str">
        <f t="shared" si="20"/>
        <v>Евросоюз</v>
      </c>
      <c r="AV98" s="41"/>
    </row>
    <row r="99" spans="1:48">
      <c r="A99" s="535" t="s">
        <v>762</v>
      </c>
      <c r="B99" s="44" t="e">
        <f>MATCH(A99,Вентиляторы!B$6:B$1864,0)</f>
        <v>#N/A</v>
      </c>
      <c r="C99" s="45" t="e">
        <f ca="1">OFFSET(Вентиляторы!#REF!,B99-1,0)</f>
        <v>#REF!</v>
      </c>
      <c r="D99" s="45" t="e">
        <f ca="1">MID(C99,SEARCH("LV-",C99,1),IFERROR(SEARCH("(",C99,1),LEN(C99)+2)-SEARCH("LV-",C99,1)-1)</f>
        <v>#REF!</v>
      </c>
      <c r="E99" s="506" t="e">
        <f ca="1">OFFSET(Вентиляторы!#REF!,B99-1,0)</f>
        <v>#REF!</v>
      </c>
      <c r="F99" s="145" t="s">
        <v>591</v>
      </c>
      <c r="G99" s="46" t="e">
        <f t="shared" ref="G99:G107" si="21">AN99+Задача_Расход*(AO99+Задача_Расход*(AP99+Задача_Расход*(AQ99+Задача_Расход*(AR99+Задача_Расход*(AS99+Задача_Расход*AT99)))))</f>
        <v>#REF!</v>
      </c>
      <c r="H99" s="46" t="e">
        <f ca="1">($G99/OFFSET(ПП_Свод!T$23,MATCH(M99,ПП_Свод!C$24:C$37,0),0)-1) &gt; -Задача_Допуск/100</f>
        <v>#REF!</v>
      </c>
      <c r="I99" s="46" t="str">
        <f t="shared" ref="I99:I118" si="22">CONCATENATE($M99,"=",IFERROR(AND($S99=Задача_ТипКод,OR(Задача_ПроизводительЛюбой,Задача_ПроизводительТекст=AU99),OR(NOT(Задача_ВентиляторШумоизоляция),T99=Задача_ВентиляторШумоизоляция),OR(NOT(Задача_ВентиляторEC),U99=Задача_ВентиляторEC),Задача_Расход&gt;=Z99, Задача_Расход&lt;=AF99, H99),FALSE))</f>
        <v>Ø200=ЛОЖЬ</v>
      </c>
      <c r="J99" s="47" t="e">
        <f t="shared" ca="1" si="15"/>
        <v>#N/A</v>
      </c>
      <c r="K99" s="147">
        <v>200</v>
      </c>
      <c r="L99" s="147"/>
      <c r="M99" s="44" t="str">
        <f t="shared" ref="M99:M107" si="23">IF(L99&gt;0,IF(K99&gt;0,CONCATENATE(K99,"x",L99),L99),CONCATENATE("Ø",K99))</f>
        <v>Ø200</v>
      </c>
      <c r="N99" s="511" t="s">
        <v>45</v>
      </c>
      <c r="O99" s="147">
        <v>22</v>
      </c>
      <c r="P99" s="147" t="s">
        <v>43</v>
      </c>
      <c r="Q99" s="512">
        <v>0.18</v>
      </c>
      <c r="R99" s="512">
        <v>0.56999999999999995</v>
      </c>
      <c r="S99" s="147" t="s">
        <v>610</v>
      </c>
      <c r="T99" s="147" t="b">
        <v>1</v>
      </c>
      <c r="U99" s="147" t="b">
        <v>0</v>
      </c>
      <c r="V99" s="139" t="s">
        <v>170</v>
      </c>
      <c r="W99" s="139" t="s">
        <v>170</v>
      </c>
      <c r="X99" s="139" t="s">
        <v>170</v>
      </c>
      <c r="Y99" s="139" t="s">
        <v>170</v>
      </c>
      <c r="Z99" s="48">
        <v>0</v>
      </c>
      <c r="AA99" s="49">
        <v>77</v>
      </c>
      <c r="AB99" s="49">
        <v>174</v>
      </c>
      <c r="AC99" s="49">
        <v>262</v>
      </c>
      <c r="AD99" s="49">
        <v>352</v>
      </c>
      <c r="AE99" s="49">
        <v>433</v>
      </c>
      <c r="AF99" s="49">
        <v>843</v>
      </c>
      <c r="AG99" s="49">
        <v>170</v>
      </c>
      <c r="AH99" s="49">
        <v>145</v>
      </c>
      <c r="AI99" s="49">
        <v>144</v>
      </c>
      <c r="AJ99" s="49">
        <v>154</v>
      </c>
      <c r="AK99" s="49">
        <v>160</v>
      </c>
      <c r="AL99" s="49">
        <v>146</v>
      </c>
      <c r="AM99" s="49">
        <v>0</v>
      </c>
      <c r="AN99" s="72">
        <f>INDEX(LINEST($AG99:$AM99,$Z99:$AF99^Данные!$A$106:$A$110),1,6)</f>
        <v>169.95182978102133</v>
      </c>
      <c r="AO99" s="72">
        <f>INDEX(LINEST($AG99:$AM99,$Z99:$AF99^Данные!$A$106:$A$110),1,5)</f>
        <v>-0.49132803201264974</v>
      </c>
      <c r="AP99" s="72">
        <f>INDEX(LINEST($AG99:$AM99,$Z99:$AF99^Данные!$A$106:$A$110),1,4)</f>
        <v>2.3303050805855339E-3</v>
      </c>
      <c r="AQ99" s="72">
        <f>INDEX(LINEST($AG99:$AM99,$Z99:$AF99^Данные!$A$106:$A$110),1,3)</f>
        <v>-1.0210063429900815E-6</v>
      </c>
      <c r="AR99" s="72">
        <f>INDEX(LINEST($AG99:$AM99,$Z99:$AF99^Данные!$A$106:$A$110),1,2)</f>
        <v>-7.9854299678644185E-9</v>
      </c>
      <c r="AS99" s="72">
        <f>INDEX(LINEST($AG99:$AM99,$Z99:$AF99^Данные!$A$106:$A$110),1,1)</f>
        <v>7.5932180296819347E-12</v>
      </c>
      <c r="AT99" s="73">
        <v>0</v>
      </c>
      <c r="AU99" s="44" t="str">
        <f t="shared" si="20"/>
        <v>Евросоюз</v>
      </c>
      <c r="AV99" s="41"/>
    </row>
    <row r="100" spans="1:48">
      <c r="A100" s="534" t="s">
        <v>763</v>
      </c>
      <c r="B100" s="54" t="e">
        <f>MATCH(A100,Вентиляторы!B$6:B$1864,0)</f>
        <v>#N/A</v>
      </c>
      <c r="C100" s="55" t="e">
        <f ca="1">OFFSET(Вентиляторы!#REF!,B100-1,0)</f>
        <v>#REF!</v>
      </c>
      <c r="D100" s="55" t="e">
        <f t="shared" ref="D100:D118" ca="1" si="24">MID(C100,SEARCH("LV-",C100,1),IFERROR(SEARCH("(",C100,1),LEN(C100)+2)-SEARCH("LV-",C100,1)-1)</f>
        <v>#REF!</v>
      </c>
      <c r="E100" s="522" t="e">
        <f ca="1">OFFSET(Вентиляторы!#REF!,B100-1,0)</f>
        <v>#REF!</v>
      </c>
      <c r="F100" s="500" t="s">
        <v>591</v>
      </c>
      <c r="G100" s="56" t="e">
        <f t="shared" si="21"/>
        <v>#REF!</v>
      </c>
      <c r="H100" s="56" t="e">
        <f ca="1">($G100/OFFSET(ПП_Свод!T$23,MATCH(M100,ПП_Свод!C$24:C$37,0),0)-1) &gt; -Задача_Допуск/100</f>
        <v>#REF!</v>
      </c>
      <c r="I100" s="56" t="str">
        <f t="shared" si="22"/>
        <v>Ø200=ЛОЖЬ</v>
      </c>
      <c r="J100" s="57" t="e">
        <f t="shared" ca="1" si="15"/>
        <v>#N/A</v>
      </c>
      <c r="K100" s="148">
        <v>200</v>
      </c>
      <c r="L100" s="148"/>
      <c r="M100" s="54" t="str">
        <f t="shared" si="23"/>
        <v>Ø200</v>
      </c>
      <c r="N100" s="148" t="s">
        <v>45</v>
      </c>
      <c r="O100" s="148">
        <v>25</v>
      </c>
      <c r="P100" s="148" t="s">
        <v>43</v>
      </c>
      <c r="Q100" s="513">
        <v>0.28999999999999998</v>
      </c>
      <c r="R100" s="513">
        <v>1</v>
      </c>
      <c r="S100" s="148" t="s">
        <v>610</v>
      </c>
      <c r="T100" s="148" t="b">
        <v>1</v>
      </c>
      <c r="U100" s="148" t="b">
        <v>0</v>
      </c>
      <c r="V100" s="140" t="s">
        <v>170</v>
      </c>
      <c r="W100" s="140" t="s">
        <v>170</v>
      </c>
      <c r="X100" s="140" t="s">
        <v>170</v>
      </c>
      <c r="Y100" s="140" t="s">
        <v>170</v>
      </c>
      <c r="Z100" s="58">
        <v>0</v>
      </c>
      <c r="AA100" s="59">
        <v>105</v>
      </c>
      <c r="AB100" s="59">
        <v>287</v>
      </c>
      <c r="AC100" s="59">
        <v>555</v>
      </c>
      <c r="AD100" s="59">
        <v>764</v>
      </c>
      <c r="AE100" s="59">
        <v>1048</v>
      </c>
      <c r="AF100" s="59">
        <v>1300</v>
      </c>
      <c r="AG100" s="59">
        <v>220</v>
      </c>
      <c r="AH100" s="59">
        <v>191</v>
      </c>
      <c r="AI100" s="59">
        <v>188</v>
      </c>
      <c r="AJ100" s="59">
        <v>210</v>
      </c>
      <c r="AK100" s="59">
        <v>185</v>
      </c>
      <c r="AL100" s="59">
        <v>106</v>
      </c>
      <c r="AM100" s="59">
        <v>0</v>
      </c>
      <c r="AN100" s="74">
        <f>INDEX(LINEST($AG100:$AM100,$Z100:$AF100^Данные!$A$106:$A$110),1,6)</f>
        <v>220.66045229484035</v>
      </c>
      <c r="AO100" s="74">
        <f>INDEX(LINEST($AG100:$AM100,$Z100:$AF100^Данные!$A$106:$A$110),1,5)</f>
        <v>-0.48851825645480418</v>
      </c>
      <c r="AP100" s="74">
        <f>INDEX(LINEST($AG100:$AM100,$Z100:$AF100^Данные!$A$106:$A$110),1,4)</f>
        <v>2.1237286996739014E-3</v>
      </c>
      <c r="AQ100" s="74">
        <f>INDEX(LINEST($AG100:$AM100,$Z100:$AF100^Данные!$A$106:$A$110),1,3)</f>
        <v>-3.3014748217362234E-6</v>
      </c>
      <c r="AR100" s="74">
        <f>INDEX(LINEST($AG100:$AM100,$Z100:$AF100^Данные!$A$106:$A$110),1,2)</f>
        <v>2.0344933966761264E-9</v>
      </c>
      <c r="AS100" s="74">
        <f>INDEX(LINEST($AG100:$AM100,$Z100:$AF100^Данные!$A$106:$A$110),1,1)</f>
        <v>-4.6647580862436858E-13</v>
      </c>
      <c r="AT100" s="75">
        <v>0</v>
      </c>
      <c r="AU100" s="54" t="str">
        <f t="shared" si="20"/>
        <v>Евросоюз</v>
      </c>
      <c r="AV100" s="41"/>
    </row>
    <row r="101" spans="1:48">
      <c r="A101" s="534" t="s">
        <v>764</v>
      </c>
      <c r="B101" s="54" t="e">
        <f>MATCH(A101,Вентиляторы!B$6:B$1864,0)</f>
        <v>#N/A</v>
      </c>
      <c r="C101" s="55" t="e">
        <f ca="1">OFFSET(Вентиляторы!#REF!,B101-1,0)</f>
        <v>#REF!</v>
      </c>
      <c r="D101" s="55" t="e">
        <f t="shared" ca="1" si="24"/>
        <v>#REF!</v>
      </c>
      <c r="E101" s="522" t="e">
        <f ca="1">OFFSET(Вентиляторы!#REF!,B101-1,0)</f>
        <v>#REF!</v>
      </c>
      <c r="F101" s="500" t="s">
        <v>591</v>
      </c>
      <c r="G101" s="56" t="e">
        <f t="shared" si="21"/>
        <v>#REF!</v>
      </c>
      <c r="H101" s="56" t="e">
        <f ca="1">($G101/OFFSET(ПП_Свод!T$23,MATCH(M101,ПП_Свод!C$24:C$37,0),0)-1) &gt; -Задача_Допуск/100</f>
        <v>#REF!</v>
      </c>
      <c r="I101" s="56" t="str">
        <f t="shared" si="22"/>
        <v>Ø200=ЛОЖЬ</v>
      </c>
      <c r="J101" s="57" t="e">
        <f t="shared" ca="1" si="15"/>
        <v>#N/A</v>
      </c>
      <c r="K101" s="148">
        <v>200</v>
      </c>
      <c r="L101" s="148"/>
      <c r="M101" s="54" t="str">
        <f t="shared" si="23"/>
        <v>Ø200</v>
      </c>
      <c r="N101" s="148" t="s">
        <v>45</v>
      </c>
      <c r="O101" s="148">
        <v>29</v>
      </c>
      <c r="P101" s="148" t="s">
        <v>43</v>
      </c>
      <c r="Q101" s="513">
        <v>0.54</v>
      </c>
      <c r="R101" s="513">
        <v>1.44</v>
      </c>
      <c r="S101" s="148" t="s">
        <v>610</v>
      </c>
      <c r="T101" s="148" t="b">
        <v>1</v>
      </c>
      <c r="U101" s="148" t="b">
        <v>0</v>
      </c>
      <c r="V101" s="140" t="s">
        <v>170</v>
      </c>
      <c r="W101" s="140" t="s">
        <v>170</v>
      </c>
      <c r="X101" s="140" t="s">
        <v>170</v>
      </c>
      <c r="Y101" s="140" t="s">
        <v>170</v>
      </c>
      <c r="Z101" s="58">
        <v>0</v>
      </c>
      <c r="AA101" s="59">
        <v>220</v>
      </c>
      <c r="AB101" s="59">
        <v>448</v>
      </c>
      <c r="AC101" s="59">
        <v>740</v>
      </c>
      <c r="AD101" s="59">
        <v>975</v>
      </c>
      <c r="AE101" s="59">
        <v>1448</v>
      </c>
      <c r="AF101" s="59">
        <v>1820</v>
      </c>
      <c r="AG101" s="59">
        <v>318</v>
      </c>
      <c r="AH101" s="59">
        <v>242</v>
      </c>
      <c r="AI101" s="59">
        <v>245</v>
      </c>
      <c r="AJ101" s="59">
        <v>260</v>
      </c>
      <c r="AK101" s="59">
        <v>245</v>
      </c>
      <c r="AL101" s="59">
        <v>137</v>
      </c>
      <c r="AM101" s="59">
        <v>0</v>
      </c>
      <c r="AN101" s="74">
        <f>INDEX(LINEST($AG101:$AM101,$Z101:$AF101^Данные!$A$106:$A$110),1,6)</f>
        <v>317.97271677152185</v>
      </c>
      <c r="AO101" s="74">
        <f>INDEX(LINEST($AG101:$AM101,$Z101:$AF101^Данные!$A$106:$A$110),1,5)</f>
        <v>-0.6694884878733991</v>
      </c>
      <c r="AP101" s="74">
        <f>INDEX(LINEST($AG101:$AM101,$Z101:$AF101^Данные!$A$106:$A$110),1,4)</f>
        <v>1.8969551163312774E-3</v>
      </c>
      <c r="AQ101" s="74">
        <f>INDEX(LINEST($AG101:$AM101,$Z101:$AF101^Данные!$A$106:$A$110),1,3)</f>
        <v>-2.1226599402843769E-6</v>
      </c>
      <c r="AR101" s="74">
        <f>INDEX(LINEST($AG101:$AM101,$Z101:$AF101^Данные!$A$106:$A$110),1,2)</f>
        <v>9.930196479701956E-10</v>
      </c>
      <c r="AS101" s="74">
        <f>INDEX(LINEST($AG101:$AM101,$Z101:$AF101^Данные!$A$106:$A$110),1,1)</f>
        <v>-1.743593651083223E-13</v>
      </c>
      <c r="AT101" s="75">
        <v>0</v>
      </c>
      <c r="AU101" s="54" t="str">
        <f t="shared" si="20"/>
        <v>Евросоюз</v>
      </c>
      <c r="AV101" s="41"/>
    </row>
    <row r="102" spans="1:48">
      <c r="A102" s="534" t="s">
        <v>765</v>
      </c>
      <c r="B102" s="54" t="e">
        <f>MATCH(A102,Вентиляторы!B$6:B$1864,0)</f>
        <v>#N/A</v>
      </c>
      <c r="C102" s="55" t="e">
        <f ca="1">OFFSET(Вентиляторы!#REF!,B102-1,0)</f>
        <v>#REF!</v>
      </c>
      <c r="D102" s="55" t="e">
        <f t="shared" ca="1" si="24"/>
        <v>#REF!</v>
      </c>
      <c r="E102" s="522" t="e">
        <f ca="1">OFFSET(Вентиляторы!#REF!,B102-1,0)</f>
        <v>#REF!</v>
      </c>
      <c r="F102" s="500" t="s">
        <v>591</v>
      </c>
      <c r="G102" s="56" t="e">
        <f t="shared" si="21"/>
        <v>#REF!</v>
      </c>
      <c r="H102" s="56" t="e">
        <f ca="1">($G102/OFFSET(ПП_Свод!T$23,MATCH(M102,ПП_Свод!C$24:C$37,0),0)-1) &gt; -Задача_Допуск/100</f>
        <v>#REF!</v>
      </c>
      <c r="I102" s="56" t="str">
        <f t="shared" si="22"/>
        <v>Ø250=ЛОЖЬ</v>
      </c>
      <c r="J102" s="57" t="e">
        <f t="shared" ca="1" si="15"/>
        <v>#N/A</v>
      </c>
      <c r="K102" s="148">
        <v>250</v>
      </c>
      <c r="L102" s="148"/>
      <c r="M102" s="54" t="str">
        <f t="shared" si="23"/>
        <v>Ø250</v>
      </c>
      <c r="N102" s="148" t="s">
        <v>45</v>
      </c>
      <c r="O102" s="148">
        <v>37</v>
      </c>
      <c r="P102" s="148" t="s">
        <v>43</v>
      </c>
      <c r="Q102" s="513">
        <v>0.92</v>
      </c>
      <c r="R102" s="513">
        <v>1.72</v>
      </c>
      <c r="S102" s="148" t="s">
        <v>610</v>
      </c>
      <c r="T102" s="148" t="b">
        <v>1</v>
      </c>
      <c r="U102" s="148" t="b">
        <v>0</v>
      </c>
      <c r="V102" s="140" t="s">
        <v>170</v>
      </c>
      <c r="W102" s="140" t="s">
        <v>170</v>
      </c>
      <c r="X102" s="140" t="s">
        <v>170</v>
      </c>
      <c r="Y102" s="140" t="s">
        <v>170</v>
      </c>
      <c r="Z102" s="58">
        <v>0</v>
      </c>
      <c r="AA102" s="59">
        <v>457</v>
      </c>
      <c r="AB102" s="59">
        <v>736</v>
      </c>
      <c r="AC102" s="59">
        <v>1132</v>
      </c>
      <c r="AD102" s="59">
        <v>1593</v>
      </c>
      <c r="AE102" s="59">
        <v>2235</v>
      </c>
      <c r="AF102" s="59">
        <v>2846</v>
      </c>
      <c r="AG102" s="59">
        <v>382</v>
      </c>
      <c r="AH102" s="59">
        <v>340</v>
      </c>
      <c r="AI102" s="59">
        <v>342</v>
      </c>
      <c r="AJ102" s="59">
        <v>358</v>
      </c>
      <c r="AK102" s="59">
        <v>330</v>
      </c>
      <c r="AL102" s="59">
        <v>210</v>
      </c>
      <c r="AM102" s="59">
        <v>0</v>
      </c>
      <c r="AN102" s="74">
        <f>INDEX(LINEST($AG102:$AM102,$Z102:$AF102^Данные!$A$106:$A$110),1,6)</f>
        <v>382.1961666105874</v>
      </c>
      <c r="AO102" s="74">
        <f>INDEX(LINEST($AG102:$AM102,$Z102:$AF102^Данные!$A$106:$A$110),1,5)</f>
        <v>-0.24408274782584727</v>
      </c>
      <c r="AP102" s="74">
        <f>INDEX(LINEST($AG102:$AM102,$Z102:$AF102^Данные!$A$106:$A$110),1,4)</f>
        <v>4.4287048557598512E-4</v>
      </c>
      <c r="AQ102" s="74">
        <f>INDEX(LINEST($AG102:$AM102,$Z102:$AF102^Данные!$A$106:$A$110),1,3)</f>
        <v>-2.9387767404294601E-7</v>
      </c>
      <c r="AR102" s="74">
        <f>INDEX(LINEST($AG102:$AM102,$Z102:$AF102^Данные!$A$106:$A$110),1,2)</f>
        <v>7.3999647580125894E-11</v>
      </c>
      <c r="AS102" s="74">
        <f>INDEX(LINEST($AG102:$AM102,$Z102:$AF102^Данные!$A$106:$A$110),1,1)</f>
        <v>-7.2570809411981793E-15</v>
      </c>
      <c r="AT102" s="75">
        <v>0</v>
      </c>
      <c r="AU102" s="54" t="str">
        <f t="shared" si="20"/>
        <v>Евросоюз</v>
      </c>
      <c r="AV102" s="41"/>
    </row>
    <row r="103" spans="1:48">
      <c r="A103" s="534" t="s">
        <v>766</v>
      </c>
      <c r="B103" s="54" t="e">
        <f>MATCH(A103,Вентиляторы!B$6:B$1864,0)</f>
        <v>#N/A</v>
      </c>
      <c r="C103" s="55" t="e">
        <f ca="1">OFFSET(Вентиляторы!#REF!,B103-1,0)</f>
        <v>#REF!</v>
      </c>
      <c r="D103" s="55" t="e">
        <f t="shared" ca="1" si="24"/>
        <v>#REF!</v>
      </c>
      <c r="E103" s="522" t="e">
        <f ca="1">OFFSET(Вентиляторы!#REF!,B103-1,0)</f>
        <v>#REF!</v>
      </c>
      <c r="F103" s="500" t="s">
        <v>591</v>
      </c>
      <c r="G103" s="56" t="e">
        <f t="shared" si="21"/>
        <v>#REF!</v>
      </c>
      <c r="H103" s="56" t="e">
        <f ca="1">($G103/OFFSET(ПП_Свод!T$23,MATCH(M103,ПП_Свод!C$24:C$37,0),0)-1) &gt; -Задача_Допуск/100</f>
        <v>#REF!</v>
      </c>
      <c r="I103" s="56" t="str">
        <f t="shared" si="22"/>
        <v>Ø315=ЛОЖЬ</v>
      </c>
      <c r="J103" s="57" t="e">
        <f t="shared" ca="1" si="15"/>
        <v>#N/A</v>
      </c>
      <c r="K103" s="148">
        <v>315</v>
      </c>
      <c r="L103" s="148"/>
      <c r="M103" s="54" t="str">
        <f t="shared" si="23"/>
        <v>Ø315</v>
      </c>
      <c r="N103" s="148" t="s">
        <v>45</v>
      </c>
      <c r="O103" s="148">
        <v>47</v>
      </c>
      <c r="P103" s="148" t="s">
        <v>43</v>
      </c>
      <c r="Q103" s="513">
        <v>1.69</v>
      </c>
      <c r="R103" s="513">
        <v>3.37</v>
      </c>
      <c r="S103" s="148" t="s">
        <v>610</v>
      </c>
      <c r="T103" s="148" t="b">
        <v>1</v>
      </c>
      <c r="U103" s="148" t="b">
        <v>0</v>
      </c>
      <c r="V103" s="140" t="s">
        <v>170</v>
      </c>
      <c r="W103" s="140" t="s">
        <v>170</v>
      </c>
      <c r="X103" s="140" t="s">
        <v>170</v>
      </c>
      <c r="Y103" s="140" t="s">
        <v>170</v>
      </c>
      <c r="Z103" s="58">
        <v>0</v>
      </c>
      <c r="AA103" s="59">
        <v>700</v>
      </c>
      <c r="AB103" s="59">
        <v>1329</v>
      </c>
      <c r="AC103" s="59">
        <v>1875</v>
      </c>
      <c r="AD103" s="59">
        <v>2726</v>
      </c>
      <c r="AE103" s="59">
        <v>3530</v>
      </c>
      <c r="AF103" s="59">
        <v>4012</v>
      </c>
      <c r="AG103" s="59">
        <v>555</v>
      </c>
      <c r="AH103" s="59">
        <v>462</v>
      </c>
      <c r="AI103" s="59">
        <v>475</v>
      </c>
      <c r="AJ103" s="59">
        <v>483</v>
      </c>
      <c r="AK103" s="59">
        <v>425</v>
      </c>
      <c r="AL103" s="59">
        <v>264</v>
      </c>
      <c r="AM103" s="59">
        <v>0</v>
      </c>
      <c r="AN103" s="74">
        <f>INDEX(LINEST($AG103:$AM103,$Z103:$AF103^Данные!$A$106:$A$110),1,6)</f>
        <v>555.17374520790099</v>
      </c>
      <c r="AO103" s="74">
        <f>INDEX(LINEST($AG103:$AM103,$Z103:$AF103^Данные!$A$106:$A$110),1,5)</f>
        <v>-0.36534493558954673</v>
      </c>
      <c r="AP103" s="74">
        <f>INDEX(LINEST($AG103:$AM103,$Z103:$AF103^Данные!$A$106:$A$110),1,4)</f>
        <v>4.9032174346342586E-4</v>
      </c>
      <c r="AQ103" s="74">
        <f>INDEX(LINEST($AG103:$AM103,$Z103:$AF103^Данные!$A$106:$A$110),1,3)</f>
        <v>-2.7554399034530348E-7</v>
      </c>
      <c r="AR103" s="74">
        <f>INDEX(LINEST($AG103:$AM103,$Z103:$AF103^Данные!$A$106:$A$110),1,2)</f>
        <v>7.003947303410362E-11</v>
      </c>
      <c r="AS103" s="74">
        <f>INDEX(LINEST($AG103:$AM103,$Z103:$AF103^Данные!$A$106:$A$110),1,1)</f>
        <v>-7.055332611210476E-15</v>
      </c>
      <c r="AT103" s="75">
        <v>0</v>
      </c>
      <c r="AU103" s="54" t="str">
        <f t="shared" si="20"/>
        <v>Евросоюз</v>
      </c>
      <c r="AV103" s="41"/>
    </row>
    <row r="104" spans="1:48">
      <c r="A104" s="534" t="s">
        <v>767</v>
      </c>
      <c r="B104" s="54" t="e">
        <f>MATCH(A104,Вентиляторы!B$6:B$1864,0)</f>
        <v>#N/A</v>
      </c>
      <c r="C104" s="55" t="e">
        <f ca="1">OFFSET(Вентиляторы!#REF!,B104-1,0)</f>
        <v>#REF!</v>
      </c>
      <c r="D104" s="55" t="e">
        <f t="shared" ca="1" si="24"/>
        <v>#REF!</v>
      </c>
      <c r="E104" s="522" t="e">
        <f ca="1">OFFSET(Вентиляторы!#REF!,B104-1,0)</f>
        <v>#REF!</v>
      </c>
      <c r="F104" s="500" t="s">
        <v>591</v>
      </c>
      <c r="G104" s="56" t="e">
        <f t="shared" si="21"/>
        <v>#REF!</v>
      </c>
      <c r="H104" s="56" t="e">
        <f ca="1">($G104/OFFSET(ПП_Свод!T$23,MATCH(M104,ПП_Свод!C$24:C$37,0),0)-1) &gt; -Задача_Допуск/100</f>
        <v>#REF!</v>
      </c>
      <c r="I104" s="56" t="str">
        <f t="shared" si="22"/>
        <v>Ø315=ЛОЖЬ</v>
      </c>
      <c r="J104" s="57" t="e">
        <f t="shared" ca="1" si="15"/>
        <v>#N/A</v>
      </c>
      <c r="K104" s="148">
        <v>315</v>
      </c>
      <c r="L104" s="148"/>
      <c r="M104" s="54" t="str">
        <f t="shared" si="23"/>
        <v>Ø315</v>
      </c>
      <c r="N104" s="148" t="s">
        <v>45</v>
      </c>
      <c r="O104" s="148">
        <v>56</v>
      </c>
      <c r="P104" s="148" t="s">
        <v>43</v>
      </c>
      <c r="Q104" s="513">
        <v>2.56</v>
      </c>
      <c r="R104" s="513">
        <v>4.7</v>
      </c>
      <c r="S104" s="148" t="s">
        <v>610</v>
      </c>
      <c r="T104" s="148" t="b">
        <v>1</v>
      </c>
      <c r="U104" s="148" t="b">
        <v>0</v>
      </c>
      <c r="V104" s="140" t="s">
        <v>170</v>
      </c>
      <c r="W104" s="140" t="s">
        <v>170</v>
      </c>
      <c r="X104" s="140" t="s">
        <v>170</v>
      </c>
      <c r="Y104" s="140" t="s">
        <v>170</v>
      </c>
      <c r="Z104" s="58">
        <v>0</v>
      </c>
      <c r="AA104" s="59">
        <v>553</v>
      </c>
      <c r="AB104" s="59">
        <v>993</v>
      </c>
      <c r="AC104" s="59">
        <v>2222</v>
      </c>
      <c r="AD104" s="59">
        <v>3543</v>
      </c>
      <c r="AE104" s="59">
        <v>4600</v>
      </c>
      <c r="AF104" s="59">
        <v>5350</v>
      </c>
      <c r="AG104" s="59">
        <v>660</v>
      </c>
      <c r="AH104" s="59">
        <v>613</v>
      </c>
      <c r="AI104" s="59">
        <v>550</v>
      </c>
      <c r="AJ104" s="59">
        <v>556</v>
      </c>
      <c r="AK104" s="59">
        <v>434</v>
      </c>
      <c r="AL104" s="59">
        <v>227</v>
      </c>
      <c r="AM104" s="59">
        <v>0</v>
      </c>
      <c r="AN104" s="74">
        <f>INDEX(LINEST($AG104:$AM104,$Z104:$AF104^Данные!$A$106:$A$110),1,6)</f>
        <v>664.05558490418798</v>
      </c>
      <c r="AO104" s="74">
        <f>INDEX(LINEST($AG104:$AM104,$Z104:$AF104^Данные!$A$106:$A$110),1,5)</f>
        <v>-0.17795817480872234</v>
      </c>
      <c r="AP104" s="74">
        <f>INDEX(LINEST($AG104:$AM104,$Z104:$AF104^Данные!$A$106:$A$110),1,4)</f>
        <v>1.0986958172678431E-4</v>
      </c>
      <c r="AQ104" s="74">
        <f>INDEX(LINEST($AG104:$AM104,$Z104:$AF104^Данные!$A$106:$A$110),1,3)</f>
        <v>-2.7782737661897046E-8</v>
      </c>
      <c r="AR104" s="74">
        <f>INDEX(LINEST($AG104:$AM104,$Z104:$AF104^Данные!$A$106:$A$110),1,2)</f>
        <v>1.598795442636333E-12</v>
      </c>
      <c r="AS104" s="74">
        <f>INDEX(LINEST($AG104:$AM104,$Z104:$AF104^Данные!$A$106:$A$110),1,1)</f>
        <v>2.0251236881667737E-17</v>
      </c>
      <c r="AT104" s="75">
        <v>0</v>
      </c>
      <c r="AU104" s="54" t="str">
        <f t="shared" si="20"/>
        <v>Евросоюз</v>
      </c>
      <c r="AV104" s="41"/>
    </row>
    <row r="105" spans="1:48">
      <c r="A105" s="534" t="s">
        <v>768</v>
      </c>
      <c r="B105" s="54" t="e">
        <f>MATCH(A105,Вентиляторы!B$6:B$1864,0)</f>
        <v>#N/A</v>
      </c>
      <c r="C105" s="55" t="e">
        <f ca="1">OFFSET(Вентиляторы!#REF!,B105-1,0)</f>
        <v>#REF!</v>
      </c>
      <c r="D105" s="55" t="e">
        <f t="shared" ca="1" si="24"/>
        <v>#REF!</v>
      </c>
      <c r="E105" s="522" t="e">
        <f ca="1">OFFSET(Вентиляторы!#REF!,B105-1,0)</f>
        <v>#REF!</v>
      </c>
      <c r="F105" s="500" t="s">
        <v>591</v>
      </c>
      <c r="G105" s="56" t="e">
        <f t="shared" si="21"/>
        <v>#REF!</v>
      </c>
      <c r="H105" s="56" t="e">
        <f ca="1">($G105/OFFSET(ПП_Свод!T$23,MATCH(M105,ПП_Свод!C$24:C$37,0),0)-1) &gt; -Задача_Допуск/100</f>
        <v>#REF!</v>
      </c>
      <c r="I105" s="56" t="str">
        <f t="shared" si="22"/>
        <v>Ø315=ЛОЖЬ</v>
      </c>
      <c r="J105" s="57" t="e">
        <f t="shared" ca="1" si="15"/>
        <v>#N/A</v>
      </c>
      <c r="K105" s="148">
        <v>315</v>
      </c>
      <c r="L105" s="148"/>
      <c r="M105" s="54" t="str">
        <f t="shared" si="23"/>
        <v>Ø315</v>
      </c>
      <c r="N105" s="148" t="s">
        <v>45</v>
      </c>
      <c r="O105" s="148">
        <v>45</v>
      </c>
      <c r="P105" s="148" t="s">
        <v>43</v>
      </c>
      <c r="Q105" s="513">
        <v>0.18</v>
      </c>
      <c r="R105" s="513">
        <v>0.68</v>
      </c>
      <c r="S105" s="148" t="s">
        <v>610</v>
      </c>
      <c r="T105" s="148" t="b">
        <v>1</v>
      </c>
      <c r="U105" s="148" t="b">
        <v>0</v>
      </c>
      <c r="V105" s="140" t="s">
        <v>170</v>
      </c>
      <c r="W105" s="140" t="s">
        <v>170</v>
      </c>
      <c r="X105" s="140" t="s">
        <v>170</v>
      </c>
      <c r="Y105" s="140" t="s">
        <v>170</v>
      </c>
      <c r="Z105" s="58">
        <v>0</v>
      </c>
      <c r="AA105" s="59">
        <v>373</v>
      </c>
      <c r="AB105" s="59">
        <v>673</v>
      </c>
      <c r="AC105" s="59">
        <v>923</v>
      </c>
      <c r="AD105" s="59">
        <v>1148</v>
      </c>
      <c r="AE105" s="59">
        <v>1392</v>
      </c>
      <c r="AF105" s="59">
        <v>1667</v>
      </c>
      <c r="AG105" s="59">
        <v>334</v>
      </c>
      <c r="AH105" s="59">
        <v>322</v>
      </c>
      <c r="AI105" s="59">
        <v>287</v>
      </c>
      <c r="AJ105" s="59">
        <v>245</v>
      </c>
      <c r="AK105" s="59">
        <v>184</v>
      </c>
      <c r="AL105" s="59">
        <v>101</v>
      </c>
      <c r="AM105" s="59">
        <v>0</v>
      </c>
      <c r="AN105" s="74">
        <f>INDEX(LINEST($AG105:$AM105,$Z105:$AF105^Данные!$A$106:$A$110),1,6)</f>
        <v>334.02129896379279</v>
      </c>
      <c r="AO105" s="74">
        <f>INDEX(LINEST($AG105:$AM105,$Z105:$AF105^Данные!$A$106:$A$110),1,5)</f>
        <v>5.8704310350981052E-2</v>
      </c>
      <c r="AP105" s="74">
        <f>INDEX(LINEST($AG105:$AM105,$Z105:$AF105^Данные!$A$106:$A$110),1,4)</f>
        <v>-3.8827044270565438E-4</v>
      </c>
      <c r="AQ105" s="74">
        <f>INDEX(LINEST($AG105:$AM105,$Z105:$AF105^Данные!$A$106:$A$110),1,3)</f>
        <v>5.18750936447026E-7</v>
      </c>
      <c r="AR105" s="74">
        <f>INDEX(LINEST($AG105:$AM105,$Z105:$AF105^Данные!$A$106:$A$110),1,2)</f>
        <v>-4.0218735900883493E-10</v>
      </c>
      <c r="AS105" s="74">
        <f>INDEX(LINEST($AG105:$AM105,$Z105:$AF105^Данные!$A$106:$A$110),1,1)</f>
        <v>1.0485957091146531E-13</v>
      </c>
      <c r="AT105" s="75">
        <v>0</v>
      </c>
      <c r="AU105" s="54" t="str">
        <f t="shared" si="20"/>
        <v>Евросоюз</v>
      </c>
      <c r="AV105" s="41"/>
    </row>
    <row r="106" spans="1:48">
      <c r="A106" s="534" t="s">
        <v>769</v>
      </c>
      <c r="B106" s="54" t="e">
        <f>MATCH(A106,Вентиляторы!B$6:B$1864,0)</f>
        <v>#N/A</v>
      </c>
      <c r="C106" s="55" t="e">
        <f ca="1">OFFSET(Вентиляторы!#REF!,B106-1,0)</f>
        <v>#REF!</v>
      </c>
      <c r="D106" s="55" t="e">
        <f t="shared" ca="1" si="24"/>
        <v>#REF!</v>
      </c>
      <c r="E106" s="522" t="e">
        <f ca="1">OFFSET(Вентиляторы!#REF!,B106-1,0)</f>
        <v>#REF!</v>
      </c>
      <c r="F106" s="500" t="s">
        <v>591</v>
      </c>
      <c r="G106" s="56" t="e">
        <f t="shared" si="21"/>
        <v>#REF!</v>
      </c>
      <c r="H106" s="56" t="e">
        <f ca="1">($G106/OFFSET(ПП_Свод!T$23,MATCH(M106,ПП_Свод!C$24:C$37,0),0)-1) &gt; -Задача_Допуск/100</f>
        <v>#REF!</v>
      </c>
      <c r="I106" s="56" t="str">
        <f t="shared" si="22"/>
        <v>Ø355=ЛОЖЬ</v>
      </c>
      <c r="J106" s="57" t="e">
        <f t="shared" ca="1" si="15"/>
        <v>#N/A</v>
      </c>
      <c r="K106" s="148">
        <v>355</v>
      </c>
      <c r="L106" s="148"/>
      <c r="M106" s="54" t="str">
        <f t="shared" si="23"/>
        <v>Ø355</v>
      </c>
      <c r="N106" s="148" t="s">
        <v>45</v>
      </c>
      <c r="O106" s="148">
        <v>53</v>
      </c>
      <c r="P106" s="148" t="s">
        <v>43</v>
      </c>
      <c r="Q106" s="513">
        <v>0.28999999999999998</v>
      </c>
      <c r="R106" s="513">
        <v>0.98</v>
      </c>
      <c r="S106" s="148" t="s">
        <v>610</v>
      </c>
      <c r="T106" s="148" t="b">
        <v>1</v>
      </c>
      <c r="U106" s="148" t="b">
        <v>0</v>
      </c>
      <c r="V106" s="140" t="s">
        <v>170</v>
      </c>
      <c r="W106" s="140" t="s">
        <v>170</v>
      </c>
      <c r="X106" s="140" t="s">
        <v>170</v>
      </c>
      <c r="Y106" s="140" t="s">
        <v>170</v>
      </c>
      <c r="Z106" s="58">
        <v>0</v>
      </c>
      <c r="AA106" s="59">
        <v>318</v>
      </c>
      <c r="AB106" s="59">
        <v>1006</v>
      </c>
      <c r="AC106" s="59">
        <v>1422</v>
      </c>
      <c r="AD106" s="59">
        <v>1893</v>
      </c>
      <c r="AE106" s="59">
        <v>2279</v>
      </c>
      <c r="AF106" s="59">
        <v>2525</v>
      </c>
      <c r="AG106" s="59">
        <v>450</v>
      </c>
      <c r="AH106" s="59">
        <v>432</v>
      </c>
      <c r="AI106" s="59">
        <v>413</v>
      </c>
      <c r="AJ106" s="59">
        <v>320</v>
      </c>
      <c r="AK106" s="59">
        <v>206</v>
      </c>
      <c r="AL106" s="59">
        <v>83</v>
      </c>
      <c r="AM106" s="59">
        <v>0</v>
      </c>
      <c r="AN106" s="74">
        <f>INDEX(LINEST($AG106:$AM106,$Z106:$AF106^Данные!$A$106:$A$110),1,6)</f>
        <v>449.60759009689082</v>
      </c>
      <c r="AO106" s="74">
        <f>INDEX(LINEST($AG106:$AM106,$Z106:$AF106^Данные!$A$106:$A$110),1,5)</f>
        <v>-0.16288390693100169</v>
      </c>
      <c r="AP106" s="74">
        <f>INDEX(LINEST($AG106:$AM106,$Z106:$AF106^Данные!$A$106:$A$110),1,4)</f>
        <v>5.2014905747948116E-4</v>
      </c>
      <c r="AQ106" s="74">
        <f>INDEX(LINEST($AG106:$AM106,$Z106:$AF106^Данные!$A$106:$A$110),1,3)</f>
        <v>-6.119831980223143E-7</v>
      </c>
      <c r="AR106" s="74">
        <f>INDEX(LINEST($AG106:$AM106,$Z106:$AF106^Данные!$A$106:$A$110),1,2)</f>
        <v>2.5116978346402233E-10</v>
      </c>
      <c r="AS106" s="74">
        <f>INDEX(LINEST($AG106:$AM106,$Z106:$AF106^Данные!$A$106:$A$110),1,1)</f>
        <v>-3.6182186503671666E-14</v>
      </c>
      <c r="AT106" s="75">
        <v>0</v>
      </c>
      <c r="AU106" s="54" t="str">
        <f t="shared" si="20"/>
        <v>Евросоюз</v>
      </c>
      <c r="AV106" s="41"/>
    </row>
    <row r="107" spans="1:48">
      <c r="A107" s="536" t="s">
        <v>770</v>
      </c>
      <c r="B107" s="63" t="e">
        <f>MATCH(A107,Вентиляторы!B$6:B$1864,0)</f>
        <v>#N/A</v>
      </c>
      <c r="C107" s="69" t="e">
        <f ca="1">OFFSET(Вентиляторы!#REF!,B107-1,0)</f>
        <v>#REF!</v>
      </c>
      <c r="D107" s="69" t="e">
        <f t="shared" ca="1" si="24"/>
        <v>#REF!</v>
      </c>
      <c r="E107" s="523" t="e">
        <f ca="1">OFFSET(Вентиляторы!#REF!,B107-1,0)</f>
        <v>#REF!</v>
      </c>
      <c r="F107" s="146" t="s">
        <v>591</v>
      </c>
      <c r="G107" s="70" t="e">
        <f t="shared" si="21"/>
        <v>#REF!</v>
      </c>
      <c r="H107" s="70" t="e">
        <f ca="1">($G107/OFFSET(ПП_Свод!T$23,MATCH(M107,ПП_Свод!C$24:C$37,0),0)-1) &gt; -Задача_Допуск/100</f>
        <v>#REF!</v>
      </c>
      <c r="I107" s="70" t="str">
        <f t="shared" si="22"/>
        <v>Ø400=ЛОЖЬ</v>
      </c>
      <c r="J107" s="71" t="e">
        <f t="shared" ca="1" si="15"/>
        <v>#N/A</v>
      </c>
      <c r="K107" s="149">
        <v>400</v>
      </c>
      <c r="L107" s="149"/>
      <c r="M107" s="63" t="str">
        <f t="shared" si="23"/>
        <v>Ø400</v>
      </c>
      <c r="N107" s="149" t="s">
        <v>45</v>
      </c>
      <c r="O107" s="149">
        <v>56</v>
      </c>
      <c r="P107" s="149" t="s">
        <v>43</v>
      </c>
      <c r="Q107" s="514">
        <v>0.47</v>
      </c>
      <c r="R107" s="514">
        <v>1.45</v>
      </c>
      <c r="S107" s="149" t="s">
        <v>610</v>
      </c>
      <c r="T107" s="149" t="b">
        <v>1</v>
      </c>
      <c r="U107" s="149" t="b">
        <v>0</v>
      </c>
      <c r="V107" s="141" t="s">
        <v>170</v>
      </c>
      <c r="W107" s="141" t="s">
        <v>170</v>
      </c>
      <c r="X107" s="141" t="s">
        <v>170</v>
      </c>
      <c r="Y107" s="141" t="s">
        <v>170</v>
      </c>
      <c r="Z107" s="64">
        <v>0</v>
      </c>
      <c r="AA107" s="65">
        <v>696</v>
      </c>
      <c r="AB107" s="65">
        <v>1046</v>
      </c>
      <c r="AC107" s="65">
        <v>1433</v>
      </c>
      <c r="AD107" s="65">
        <v>2121</v>
      </c>
      <c r="AE107" s="65">
        <v>3208</v>
      </c>
      <c r="AF107" s="65">
        <v>3484</v>
      </c>
      <c r="AG107" s="65">
        <v>570</v>
      </c>
      <c r="AH107" s="65">
        <v>550</v>
      </c>
      <c r="AI107" s="65">
        <v>534</v>
      </c>
      <c r="AJ107" s="65">
        <v>489</v>
      </c>
      <c r="AK107" s="65">
        <v>345</v>
      </c>
      <c r="AL107" s="65">
        <v>51</v>
      </c>
      <c r="AM107" s="65">
        <v>0</v>
      </c>
      <c r="AN107" s="137">
        <f>INDEX(LINEST($AG107:$AM107,$Z107:$AF107^Данные!$A$106:$A$110),1,6)</f>
        <v>569.9688875852321</v>
      </c>
      <c r="AO107" s="137">
        <f>INDEX(LINEST($AG107:$AM107,$Z107:$AF107^Данные!$A$106:$A$110),1,5)</f>
        <v>-6.9142569707546897E-2</v>
      </c>
      <c r="AP107" s="137">
        <f>INDEX(LINEST($AG107:$AM107,$Z107:$AF107^Данные!$A$106:$A$110),1,4)</f>
        <v>1.2992262262677157E-4</v>
      </c>
      <c r="AQ107" s="137">
        <f>INDEX(LINEST($AG107:$AM107,$Z107:$AF107^Данные!$A$106:$A$110),1,3)</f>
        <v>-1.2027288241224141E-7</v>
      </c>
      <c r="AR107" s="137">
        <f>INDEX(LINEST($AG107:$AM107,$Z107:$AF107^Данные!$A$106:$A$110),1,2)</f>
        <v>2.7616170517534927E-11</v>
      </c>
      <c r="AS107" s="137">
        <f>INDEX(LINEST($AG107:$AM107,$Z107:$AF107^Данные!$A$106:$A$110),1,1)</f>
        <v>-1.7313484968073666E-15</v>
      </c>
      <c r="AT107" s="138">
        <v>0</v>
      </c>
      <c r="AU107" s="63" t="str">
        <f t="shared" si="20"/>
        <v>Евросоюз</v>
      </c>
      <c r="AV107" s="41"/>
    </row>
    <row r="108" spans="1:48">
      <c r="A108" s="537" t="s">
        <v>771</v>
      </c>
      <c r="B108" s="44">
        <f>MATCH(A108,Вентиляторы!B$6:B$1864,0)</f>
        <v>47</v>
      </c>
      <c r="C108" s="45" t="e">
        <f ca="1">OFFSET(Вентиляторы!#REF!,B108-1,0)</f>
        <v>#REF!</v>
      </c>
      <c r="D108" s="45" t="e">
        <f t="shared" ca="1" si="24"/>
        <v>#REF!</v>
      </c>
      <c r="E108" s="506" t="e">
        <f ca="1">OFFSET(Вентиляторы!#REF!,B108-1,0)</f>
        <v>#REF!</v>
      </c>
      <c r="F108" s="145" t="s">
        <v>591</v>
      </c>
      <c r="G108" s="46" t="e">
        <f t="shared" ref="G108:G118" si="25">AN108+Задача_Расход*(AO108+Задача_Расход*(AP108+Задача_Расход*(AQ108+Задача_Расход*(AR108+Задача_Расход*(AS108+Задача_Расход*AT108)))))</f>
        <v>#REF!</v>
      </c>
      <c r="H108" s="46" t="e">
        <f ca="1">($G108/OFFSET(ПП_Свод!T$23,MATCH(M108,ПП_Свод!C$24:C$37,0),0)-1) &gt; -Задача_Допуск/100</f>
        <v>#REF!</v>
      </c>
      <c r="I108" s="46" t="str">
        <f t="shared" si="22"/>
        <v>350x350=ЛОЖЬ</v>
      </c>
      <c r="J108" s="47" t="e">
        <f t="shared" ca="1" si="15"/>
        <v>#N/A</v>
      </c>
      <c r="K108" s="147">
        <v>350</v>
      </c>
      <c r="L108" s="147">
        <v>350</v>
      </c>
      <c r="M108" s="44" t="str">
        <f t="shared" ref="M108:M118" si="26">IF(L108&gt;0,IF(K108&gt;0,CONCATENATE(K108,"x",L108),L108),CONCATENATE("Ø",K108))</f>
        <v>350x350</v>
      </c>
      <c r="N108" s="147" t="s">
        <v>45</v>
      </c>
      <c r="O108" s="147">
        <v>35</v>
      </c>
      <c r="P108" s="147" t="s">
        <v>43</v>
      </c>
      <c r="Q108" s="147">
        <v>0.37</v>
      </c>
      <c r="R108" s="147">
        <v>0.9</v>
      </c>
      <c r="S108" s="147" t="s">
        <v>610</v>
      </c>
      <c r="T108" s="147" t="b">
        <v>1</v>
      </c>
      <c r="U108" s="147" t="b">
        <v>0</v>
      </c>
      <c r="V108" s="139" t="s">
        <v>170</v>
      </c>
      <c r="W108" s="139" t="s">
        <v>170</v>
      </c>
      <c r="X108" s="139" t="s">
        <v>170</v>
      </c>
      <c r="Y108" s="139" t="s">
        <v>170</v>
      </c>
      <c r="Z108" s="48">
        <v>0</v>
      </c>
      <c r="AA108" s="49">
        <v>500</v>
      </c>
      <c r="AB108" s="49">
        <v>1000</v>
      </c>
      <c r="AC108" s="49">
        <v>1300</v>
      </c>
      <c r="AD108" s="49">
        <v>1700</v>
      </c>
      <c r="AE108" s="49">
        <v>2000</v>
      </c>
      <c r="AF108" s="49">
        <v>2250</v>
      </c>
      <c r="AG108" s="49">
        <v>710</v>
      </c>
      <c r="AH108" s="49">
        <v>660</v>
      </c>
      <c r="AI108" s="49">
        <v>620</v>
      </c>
      <c r="AJ108" s="49">
        <v>540</v>
      </c>
      <c r="AK108" s="49">
        <v>400</v>
      </c>
      <c r="AL108" s="49">
        <v>210</v>
      </c>
      <c r="AM108" s="49">
        <v>0</v>
      </c>
      <c r="AN108" s="72">
        <f>INDEX(LINEST($AG108:$AM108,$Z108:$AF108^Данные!$A$106:$A$110),1,6)</f>
        <v>709.87574487291181</v>
      </c>
      <c r="AO108" s="72">
        <f>INDEX(LINEST($AG108:$AM108,$Z108:$AF108^Данные!$A$106:$A$110),1,5)</f>
        <v>-0.23974922310668612</v>
      </c>
      <c r="AP108" s="72">
        <f>INDEX(LINEST($AG108:$AM108,$Z108:$AF108^Данные!$A$106:$A$110),1,4)</f>
        <v>5.0040603320228229E-4</v>
      </c>
      <c r="AQ108" s="72">
        <f>INDEX(LINEST($AG108:$AM108,$Z108:$AF108^Данные!$A$106:$A$110),1,3)</f>
        <v>-5.2820733115182186E-7</v>
      </c>
      <c r="AR108" s="72">
        <f>INDEX(LINEST($AG108:$AM108,$Z108:$AF108^Данные!$A$106:$A$110),1,2)</f>
        <v>2.0796080577886803E-10</v>
      </c>
      <c r="AS108" s="72">
        <f>INDEX(LINEST($AG108:$AM108,$Z108:$AF108^Данные!$A$106:$A$110),1,1)</f>
        <v>-3.4993523838952633E-14</v>
      </c>
      <c r="AT108" s="73">
        <v>0</v>
      </c>
      <c r="AU108" s="44" t="str">
        <f t="shared" ref="AU108:AU118" si="27">Производитель_Россия</f>
        <v>Россия</v>
      </c>
      <c r="AV108" s="41"/>
    </row>
    <row r="109" spans="1:48">
      <c r="A109" s="538" t="s">
        <v>772</v>
      </c>
      <c r="B109" s="54">
        <f>MATCH(A109,Вентиляторы!B$6:B$1864,0)</f>
        <v>48</v>
      </c>
      <c r="C109" s="55" t="e">
        <f ca="1">OFFSET(Вентиляторы!#REF!,B109-1,0)</f>
        <v>#REF!</v>
      </c>
      <c r="D109" s="55" t="e">
        <f t="shared" ca="1" si="24"/>
        <v>#REF!</v>
      </c>
      <c r="E109" s="522" t="e">
        <f ca="1">OFFSET(Вентиляторы!#REF!,B109-1,0)</f>
        <v>#REF!</v>
      </c>
      <c r="F109" s="500" t="s">
        <v>591</v>
      </c>
      <c r="G109" s="56" t="e">
        <f t="shared" si="25"/>
        <v>#REF!</v>
      </c>
      <c r="H109" s="56" t="e">
        <f ca="1">($G109/OFFSET(ПП_Свод!T$23,MATCH(M109,ПП_Свод!C$24:C$37,0),0)-1) &gt; -Задача_Допуск/100</f>
        <v>#REF!</v>
      </c>
      <c r="I109" s="56" t="str">
        <f t="shared" si="22"/>
        <v>400x400=ЛОЖЬ</v>
      </c>
      <c r="J109" s="57" t="e">
        <f t="shared" ca="1" si="15"/>
        <v>#N/A</v>
      </c>
      <c r="K109" s="148">
        <v>400</v>
      </c>
      <c r="L109" s="148">
        <v>400</v>
      </c>
      <c r="M109" s="54" t="str">
        <f t="shared" si="26"/>
        <v>400x400</v>
      </c>
      <c r="N109" s="148" t="s">
        <v>45</v>
      </c>
      <c r="O109" s="148">
        <v>38</v>
      </c>
      <c r="P109" s="148" t="s">
        <v>43</v>
      </c>
      <c r="Q109" s="148">
        <v>0.75</v>
      </c>
      <c r="R109" s="148">
        <v>1.8</v>
      </c>
      <c r="S109" s="148" t="s">
        <v>610</v>
      </c>
      <c r="T109" s="148" t="b">
        <v>1</v>
      </c>
      <c r="U109" s="148" t="b">
        <v>0</v>
      </c>
      <c r="V109" s="140" t="s">
        <v>170</v>
      </c>
      <c r="W109" s="140" t="s">
        <v>170</v>
      </c>
      <c r="X109" s="140" t="s">
        <v>170</v>
      </c>
      <c r="Y109" s="140" t="s">
        <v>170</v>
      </c>
      <c r="Z109" s="58">
        <v>0</v>
      </c>
      <c r="AA109" s="59">
        <v>500</v>
      </c>
      <c r="AB109" s="59">
        <v>1200</v>
      </c>
      <c r="AC109" s="59">
        <v>1800</v>
      </c>
      <c r="AD109" s="59">
        <v>2500</v>
      </c>
      <c r="AE109" s="59">
        <v>2720</v>
      </c>
      <c r="AF109" s="59">
        <v>3200</v>
      </c>
      <c r="AG109" s="59">
        <v>885</v>
      </c>
      <c r="AH109" s="59">
        <v>850</v>
      </c>
      <c r="AI109" s="59">
        <v>800</v>
      </c>
      <c r="AJ109" s="59">
        <v>700</v>
      </c>
      <c r="AK109" s="59">
        <v>440</v>
      </c>
      <c r="AL109" s="59">
        <v>320</v>
      </c>
      <c r="AM109" s="59">
        <v>0</v>
      </c>
      <c r="AN109" s="74">
        <f>INDEX(LINEST($AG109:$AM109,$Z109:$AF109^Данные!$A$106:$A$110),1,6)</f>
        <v>885.00446203251158</v>
      </c>
      <c r="AO109" s="74">
        <f>INDEX(LINEST($AG109:$AM109,$Z109:$AF109^Данные!$A$106:$A$110),1,5)</f>
        <v>-8.363922325701946E-2</v>
      </c>
      <c r="AP109" s="74">
        <f>INDEX(LINEST($AG109:$AM109,$Z109:$AF109^Данные!$A$106:$A$110),1,4)</f>
        <v>2.964043942758035E-5</v>
      </c>
      <c r="AQ109" s="74">
        <f>INDEX(LINEST($AG109:$AM109,$Z109:$AF109^Данные!$A$106:$A$110),1,3)</f>
        <v>4.9282713021155384E-9</v>
      </c>
      <c r="AR109" s="74">
        <f>INDEX(LINEST($AG109:$AM109,$Z109:$AF109^Данные!$A$106:$A$110),1,2)</f>
        <v>-2.1417087496663788E-11</v>
      </c>
      <c r="AS109" s="74">
        <f>INDEX(LINEST($AG109:$AM109,$Z109:$AF109^Данные!$A$106:$A$110),1,1)</f>
        <v>3.4671743301990977E-15</v>
      </c>
      <c r="AT109" s="75">
        <v>0</v>
      </c>
      <c r="AU109" s="54" t="str">
        <f t="shared" si="27"/>
        <v>Россия</v>
      </c>
      <c r="AV109" s="41"/>
    </row>
    <row r="110" spans="1:48">
      <c r="A110" s="538" t="s">
        <v>773</v>
      </c>
      <c r="B110" s="54">
        <f>MATCH(A110,Вентиляторы!B$6:B$1864,0)</f>
        <v>49</v>
      </c>
      <c r="C110" s="55" t="e">
        <f ca="1">OFFSET(Вентиляторы!#REF!,B110-1,0)</f>
        <v>#REF!</v>
      </c>
      <c r="D110" s="55" t="e">
        <f t="shared" ca="1" si="24"/>
        <v>#REF!</v>
      </c>
      <c r="E110" s="522" t="e">
        <f ca="1">OFFSET(Вентиляторы!#REF!,B110-1,0)</f>
        <v>#REF!</v>
      </c>
      <c r="F110" s="500" t="s">
        <v>591</v>
      </c>
      <c r="G110" s="56" t="e">
        <f t="shared" si="25"/>
        <v>#REF!</v>
      </c>
      <c r="H110" s="56" t="e">
        <f ca="1">($G110/OFFSET(ПП_Свод!T$23,MATCH(M110,ПП_Свод!C$24:C$37,0),0)-1) &gt; -Задача_Допуск/100</f>
        <v>#REF!</v>
      </c>
      <c r="I110" s="56" t="str">
        <f t="shared" si="22"/>
        <v>450x450=ЛОЖЬ</v>
      </c>
      <c r="J110" s="57" t="e">
        <f t="shared" ca="1" si="15"/>
        <v>#N/A</v>
      </c>
      <c r="K110" s="148">
        <v>450</v>
      </c>
      <c r="L110" s="148">
        <v>450</v>
      </c>
      <c r="M110" s="54" t="str">
        <f t="shared" si="26"/>
        <v>450x450</v>
      </c>
      <c r="N110" s="148" t="s">
        <v>45</v>
      </c>
      <c r="O110" s="148">
        <v>55</v>
      </c>
      <c r="P110" s="148" t="s">
        <v>43</v>
      </c>
      <c r="Q110" s="148">
        <v>1.1000000000000001</v>
      </c>
      <c r="R110" s="148">
        <v>2.6</v>
      </c>
      <c r="S110" s="148" t="s">
        <v>610</v>
      </c>
      <c r="T110" s="148" t="b">
        <v>1</v>
      </c>
      <c r="U110" s="148" t="b">
        <v>0</v>
      </c>
      <c r="V110" s="140" t="s">
        <v>170</v>
      </c>
      <c r="W110" s="140" t="s">
        <v>170</v>
      </c>
      <c r="X110" s="140" t="s">
        <v>170</v>
      </c>
      <c r="Y110" s="140" t="s">
        <v>170</v>
      </c>
      <c r="Z110" s="58">
        <v>0</v>
      </c>
      <c r="AA110" s="59">
        <v>1000</v>
      </c>
      <c r="AB110" s="59">
        <v>2000</v>
      </c>
      <c r="AC110" s="59">
        <v>2500</v>
      </c>
      <c r="AD110" s="59">
        <v>3000</v>
      </c>
      <c r="AE110" s="59">
        <v>4000</v>
      </c>
      <c r="AF110" s="59">
        <v>4550</v>
      </c>
      <c r="AG110" s="59">
        <v>1100</v>
      </c>
      <c r="AH110" s="59">
        <v>1060</v>
      </c>
      <c r="AI110" s="59">
        <v>950</v>
      </c>
      <c r="AJ110" s="59">
        <v>850</v>
      </c>
      <c r="AK110" s="59">
        <v>680</v>
      </c>
      <c r="AL110" s="59">
        <v>280</v>
      </c>
      <c r="AM110" s="59">
        <v>40</v>
      </c>
      <c r="AN110" s="74">
        <f>INDEX(LINEST($AG110:$AM110,$Z110:$AF110^Данные!$A$106:$A$110),1,6)</f>
        <v>1100.0890158349303</v>
      </c>
      <c r="AO110" s="74">
        <f>INDEX(LINEST($AG110:$AM110,$Z110:$AF110^Данные!$A$106:$A$110),1,5)</f>
        <v>-8.0985575794803144E-2</v>
      </c>
      <c r="AP110" s="74">
        <f>INDEX(LINEST($AG110:$AM110,$Z110:$AF110^Данные!$A$106:$A$110),1,4)</f>
        <v>9.0256292957678472E-5</v>
      </c>
      <c r="AQ110" s="74">
        <f>INDEX(LINEST($AG110:$AM110,$Z110:$AF110^Данные!$A$106:$A$110),1,3)</f>
        <v>-5.7671563995143492E-8</v>
      </c>
      <c r="AR110" s="74">
        <f>INDEX(LINEST($AG110:$AM110,$Z110:$AF110^Данные!$A$106:$A$110),1,2)</f>
        <v>7.7902998483014977E-12</v>
      </c>
      <c r="AS110" s="74">
        <f>INDEX(LINEST($AG110:$AM110,$Z110:$AF110^Данные!$A$106:$A$110),1,1)</f>
        <v>-2.3907363769218199E-16</v>
      </c>
      <c r="AT110" s="75">
        <v>0</v>
      </c>
      <c r="AU110" s="54" t="str">
        <f t="shared" si="27"/>
        <v>Россия</v>
      </c>
      <c r="AV110" s="41"/>
    </row>
    <row r="111" spans="1:48">
      <c r="A111" s="538" t="s">
        <v>774</v>
      </c>
      <c r="B111" s="54">
        <f>MATCH(A111,Вентиляторы!B$6:B$1864,0)</f>
        <v>50</v>
      </c>
      <c r="C111" s="55" t="e">
        <f ca="1">OFFSET(Вентиляторы!#REF!,B111-1,0)</f>
        <v>#REF!</v>
      </c>
      <c r="D111" s="55" t="e">
        <f t="shared" ca="1" si="24"/>
        <v>#REF!</v>
      </c>
      <c r="E111" s="522" t="e">
        <f ca="1">OFFSET(Вентиляторы!#REF!,B111-1,0)</f>
        <v>#REF!</v>
      </c>
      <c r="F111" s="500" t="s">
        <v>591</v>
      </c>
      <c r="G111" s="56" t="e">
        <f t="shared" si="25"/>
        <v>#REF!</v>
      </c>
      <c r="H111" s="56" t="e">
        <f ca="1">($G111/OFFSET(ПП_Свод!T$23,MATCH(M111,ПП_Свод!C$24:C$37,0),0)-1) &gt; -Задача_Допуск/100</f>
        <v>#REF!</v>
      </c>
      <c r="I111" s="56" t="str">
        <f t="shared" si="22"/>
        <v>500x500=ЛОЖЬ</v>
      </c>
      <c r="J111" s="57" t="e">
        <f t="shared" ca="1" si="15"/>
        <v>#N/A</v>
      </c>
      <c r="K111" s="148">
        <v>500</v>
      </c>
      <c r="L111" s="148">
        <v>500</v>
      </c>
      <c r="M111" s="54" t="str">
        <f t="shared" si="26"/>
        <v>500x500</v>
      </c>
      <c r="N111" s="148" t="s">
        <v>45</v>
      </c>
      <c r="O111" s="148">
        <v>71</v>
      </c>
      <c r="P111" s="148" t="s">
        <v>43</v>
      </c>
      <c r="Q111" s="148">
        <v>2.2000000000000002</v>
      </c>
      <c r="R111" s="148">
        <v>4.8</v>
      </c>
      <c r="S111" s="148" t="s">
        <v>610</v>
      </c>
      <c r="T111" s="148" t="b">
        <v>1</v>
      </c>
      <c r="U111" s="148" t="b">
        <v>0</v>
      </c>
      <c r="V111" s="140" t="s">
        <v>170</v>
      </c>
      <c r="W111" s="140" t="s">
        <v>170</v>
      </c>
      <c r="X111" s="140" t="s">
        <v>170</v>
      </c>
      <c r="Y111" s="140" t="s">
        <v>170</v>
      </c>
      <c r="Z111" s="58">
        <v>0</v>
      </c>
      <c r="AA111" s="59">
        <v>2000</v>
      </c>
      <c r="AB111" s="59">
        <v>3000</v>
      </c>
      <c r="AC111" s="59">
        <v>4000</v>
      </c>
      <c r="AD111" s="59">
        <v>5000</v>
      </c>
      <c r="AE111" s="59">
        <v>6000</v>
      </c>
      <c r="AF111" s="59">
        <v>6800</v>
      </c>
      <c r="AG111" s="59">
        <v>1460</v>
      </c>
      <c r="AH111" s="59">
        <v>1400</v>
      </c>
      <c r="AI111" s="59">
        <v>1340</v>
      </c>
      <c r="AJ111" s="59">
        <v>1180</v>
      </c>
      <c r="AK111" s="59">
        <v>940</v>
      </c>
      <c r="AL111" s="59">
        <v>520</v>
      </c>
      <c r="AM111" s="59">
        <v>0</v>
      </c>
      <c r="AN111" s="74">
        <f>INDEX(LINEST($AG111:$AM111,$Z111:$AF111^Данные!$A$106:$A$110),1,6)</f>
        <v>1459.9350512900635</v>
      </c>
      <c r="AO111" s="74">
        <f>INDEX(LINEST($AG111:$AM111,$Z111:$AF111^Данные!$A$106:$A$110),1,5)</f>
        <v>-0.10448375520809952</v>
      </c>
      <c r="AP111" s="74">
        <f>INDEX(LINEST($AG111:$AM111,$Z111:$AF111^Данные!$A$106:$A$110),1,4)</f>
        <v>9.2900647088092075E-5</v>
      </c>
      <c r="AQ111" s="74">
        <f>INDEX(LINEST($AG111:$AM111,$Z111:$AF111^Данные!$A$106:$A$110),1,3)</f>
        <v>-3.6992105398494659E-8</v>
      </c>
      <c r="AR111" s="74">
        <f>INDEX(LINEST($AG111:$AM111,$Z111:$AF111^Данные!$A$106:$A$110),1,2)</f>
        <v>5.3348345380416179E-12</v>
      </c>
      <c r="AS111" s="74">
        <f>INDEX(LINEST($AG111:$AM111,$Z111:$AF111^Данные!$A$106:$A$110),1,1)</f>
        <v>-3.3157745502411713E-16</v>
      </c>
      <c r="AT111" s="75">
        <v>0</v>
      </c>
      <c r="AU111" s="54" t="str">
        <f t="shared" si="27"/>
        <v>Россия</v>
      </c>
      <c r="AV111" s="41"/>
    </row>
    <row r="112" spans="1:48">
      <c r="A112" s="538" t="s">
        <v>775</v>
      </c>
      <c r="B112" s="54">
        <f>MATCH(A112,Вентиляторы!B$6:B$1864,0)</f>
        <v>52</v>
      </c>
      <c r="C112" s="55" t="e">
        <f ca="1">OFFSET(Вентиляторы!#REF!,B112-1,0)</f>
        <v>#REF!</v>
      </c>
      <c r="D112" s="55" t="e">
        <f t="shared" ca="1" si="24"/>
        <v>#REF!</v>
      </c>
      <c r="E112" s="522" t="e">
        <f ca="1">OFFSET(Вентиляторы!#REF!,B112-1,0)</f>
        <v>#REF!</v>
      </c>
      <c r="F112" s="500" t="s">
        <v>591</v>
      </c>
      <c r="G112" s="56" t="e">
        <f t="shared" si="25"/>
        <v>#REF!</v>
      </c>
      <c r="H112" s="56" t="e">
        <f ca="1">($G112/OFFSET(ПП_Свод!T$23,MATCH(M112,ПП_Свод!C$24:C$37,0),0)-1) &gt; -Задача_Допуск/100</f>
        <v>#REF!</v>
      </c>
      <c r="I112" s="56" t="str">
        <f t="shared" si="22"/>
        <v>550x550=ЛОЖЬ</v>
      </c>
      <c r="J112" s="57" t="e">
        <f t="shared" ca="1" si="15"/>
        <v>#N/A</v>
      </c>
      <c r="K112" s="148">
        <v>550</v>
      </c>
      <c r="L112" s="148">
        <v>550</v>
      </c>
      <c r="M112" s="54" t="str">
        <f t="shared" si="26"/>
        <v>550x550</v>
      </c>
      <c r="N112" s="148" t="s">
        <v>45</v>
      </c>
      <c r="O112" s="148">
        <v>88</v>
      </c>
      <c r="P112" s="148" t="s">
        <v>43</v>
      </c>
      <c r="Q112" s="148">
        <v>4</v>
      </c>
      <c r="R112" s="148">
        <v>8.1</v>
      </c>
      <c r="S112" s="148" t="s">
        <v>610</v>
      </c>
      <c r="T112" s="148" t="b">
        <v>1</v>
      </c>
      <c r="U112" s="148" t="b">
        <v>0</v>
      </c>
      <c r="V112" s="140" t="s">
        <v>170</v>
      </c>
      <c r="W112" s="140" t="s">
        <v>170</v>
      </c>
      <c r="X112" s="140" t="s">
        <v>170</v>
      </c>
      <c r="Y112" s="140" t="s">
        <v>170</v>
      </c>
      <c r="Z112" s="58">
        <v>0</v>
      </c>
      <c r="AA112" s="59">
        <v>2000</v>
      </c>
      <c r="AB112" s="59">
        <v>3000</v>
      </c>
      <c r="AC112" s="59">
        <v>5200</v>
      </c>
      <c r="AD112" s="59">
        <v>6200</v>
      </c>
      <c r="AE112" s="59">
        <v>8250</v>
      </c>
      <c r="AF112" s="59">
        <v>9800</v>
      </c>
      <c r="AG112" s="59">
        <v>1865</v>
      </c>
      <c r="AH112" s="59">
        <v>1840</v>
      </c>
      <c r="AI112" s="59">
        <v>1800</v>
      </c>
      <c r="AJ112" s="59">
        <v>1600</v>
      </c>
      <c r="AK112" s="59">
        <v>1400</v>
      </c>
      <c r="AL112" s="59">
        <v>700</v>
      </c>
      <c r="AM112" s="59">
        <v>0</v>
      </c>
      <c r="AN112" s="74">
        <f>INDEX(LINEST($AG112:$AM112,$Z112:$AF112^Данные!$A$106:$A$110),1,6)</f>
        <v>1865.0217581078077</v>
      </c>
      <c r="AO112" s="74">
        <f>INDEX(LINEST($AG112:$AM112,$Z112:$AF112^Данные!$A$106:$A$110),1,5)</f>
        <v>2.6142336636549312E-2</v>
      </c>
      <c r="AP112" s="74">
        <f>INDEX(LINEST($AG112:$AM112,$Z112:$AF112^Данные!$A$106:$A$110),1,4)</f>
        <v>-3.467103093923641E-5</v>
      </c>
      <c r="AQ112" s="74">
        <f>INDEX(LINEST($AG112:$AM112,$Z112:$AF112^Данные!$A$106:$A$110),1,3)</f>
        <v>1.089538899290631E-8</v>
      </c>
      <c r="AR112" s="74">
        <f>INDEX(LINEST($AG112:$AM112,$Z112:$AF112^Данные!$A$106:$A$110),1,2)</f>
        <v>-1.7937364475242094E-12</v>
      </c>
      <c r="AS112" s="74">
        <f>INDEX(LINEST($AG112:$AM112,$Z112:$AF112^Данные!$A$106:$A$110),1,1)</f>
        <v>8.2958768014856586E-17</v>
      </c>
      <c r="AT112" s="75">
        <v>0</v>
      </c>
      <c r="AU112" s="54" t="str">
        <f t="shared" si="27"/>
        <v>Россия</v>
      </c>
      <c r="AV112" s="41"/>
    </row>
    <row r="113" spans="1:52">
      <c r="A113" s="538" t="s">
        <v>776</v>
      </c>
      <c r="B113" s="54">
        <f>MATCH(A113,Вентиляторы!B$6:B$1864,0)</f>
        <v>55</v>
      </c>
      <c r="C113" s="55" t="e">
        <f ca="1">OFFSET(Вентиляторы!#REF!,B113-1,0)</f>
        <v>#REF!</v>
      </c>
      <c r="D113" s="55" t="e">
        <f t="shared" ca="1" si="24"/>
        <v>#REF!</v>
      </c>
      <c r="E113" s="522" t="e">
        <f ca="1">OFFSET(Вентиляторы!#REF!,B113-1,0)</f>
        <v>#REF!</v>
      </c>
      <c r="F113" s="500" t="s">
        <v>591</v>
      </c>
      <c r="G113" s="56" t="e">
        <f t="shared" si="25"/>
        <v>#REF!</v>
      </c>
      <c r="H113" s="56" t="e">
        <f ca="1">($G113/OFFSET(ПП_Свод!T$23,MATCH(M113,ПП_Свод!C$24:C$37,0),0)-1) &gt; -Задача_Допуск/100</f>
        <v>#REF!</v>
      </c>
      <c r="I113" s="56" t="str">
        <f t="shared" si="22"/>
        <v>630x630=ЛОЖЬ</v>
      </c>
      <c r="J113" s="57" t="e">
        <f t="shared" ca="1" si="15"/>
        <v>#N/A</v>
      </c>
      <c r="K113" s="148">
        <v>630</v>
      </c>
      <c r="L113" s="148">
        <v>630</v>
      </c>
      <c r="M113" s="54" t="str">
        <f t="shared" si="26"/>
        <v>630x630</v>
      </c>
      <c r="N113" s="148" t="s">
        <v>45</v>
      </c>
      <c r="O113" s="148">
        <v>127</v>
      </c>
      <c r="P113" s="148" t="s">
        <v>43</v>
      </c>
      <c r="Q113" s="148">
        <v>1.1000000000000001</v>
      </c>
      <c r="R113" s="148">
        <v>2.9</v>
      </c>
      <c r="S113" s="148" t="s">
        <v>610</v>
      </c>
      <c r="T113" s="148" t="b">
        <v>1</v>
      </c>
      <c r="U113" s="148" t="b">
        <v>0</v>
      </c>
      <c r="V113" s="140" t="s">
        <v>170</v>
      </c>
      <c r="W113" s="140" t="s">
        <v>170</v>
      </c>
      <c r="X113" s="140" t="s">
        <v>170</v>
      </c>
      <c r="Y113" s="140" t="s">
        <v>170</v>
      </c>
      <c r="Z113" s="58">
        <v>0</v>
      </c>
      <c r="AA113" s="59">
        <v>2000</v>
      </c>
      <c r="AB113" s="59">
        <v>3000</v>
      </c>
      <c r="AC113" s="59">
        <v>4000</v>
      </c>
      <c r="AD113" s="59">
        <v>5000</v>
      </c>
      <c r="AE113" s="59">
        <v>6000</v>
      </c>
      <c r="AF113" s="59">
        <v>6800</v>
      </c>
      <c r="AG113" s="59">
        <v>580</v>
      </c>
      <c r="AH113" s="59">
        <v>555</v>
      </c>
      <c r="AI113" s="59">
        <v>525</v>
      </c>
      <c r="AJ113" s="59">
        <v>480</v>
      </c>
      <c r="AK113" s="59">
        <v>370</v>
      </c>
      <c r="AL113" s="59">
        <v>220</v>
      </c>
      <c r="AM113" s="59">
        <v>0</v>
      </c>
      <c r="AN113" s="74">
        <f>INDEX(LINEST($AG113:$AM113,$Z113:$AF113^Данные!$A$106:$A$110),1,6)</f>
        <v>580.06856514437652</v>
      </c>
      <c r="AO113" s="74">
        <f>INDEX(LINEST($AG113:$AM113,$Z113:$AF113^Данные!$A$106:$A$110),1,5)</f>
        <v>-6.4197563437625504E-2</v>
      </c>
      <c r="AP113" s="74">
        <f>INDEX(LINEST($AG113:$AM113,$Z113:$AF113^Данные!$A$106:$A$110),1,4)</f>
        <v>5.931843010409236E-5</v>
      </c>
      <c r="AQ113" s="74">
        <f>INDEX(LINEST($AG113:$AM113,$Z113:$AF113^Данные!$A$106:$A$110),1,3)</f>
        <v>-2.3066440550133643E-8</v>
      </c>
      <c r="AR113" s="74">
        <f>INDEX(LINEST($AG113:$AM113,$Z113:$AF113^Данные!$A$106:$A$110),1,2)</f>
        <v>3.4987874740293407E-12</v>
      </c>
      <c r="AS113" s="74">
        <f>INDEX(LINEST($AG113:$AM113,$Z113:$AF113^Данные!$A$106:$A$110),1,1)</f>
        <v>-2.1416384959041983E-16</v>
      </c>
      <c r="AT113" s="75">
        <v>0</v>
      </c>
      <c r="AU113" s="54" t="str">
        <f t="shared" si="27"/>
        <v>Россия</v>
      </c>
      <c r="AV113" s="41"/>
    </row>
    <row r="114" spans="1:52">
      <c r="A114" s="538" t="s">
        <v>777</v>
      </c>
      <c r="B114" s="54">
        <f>MATCH(A114,Вентиляторы!B$6:B$1864,0)</f>
        <v>54</v>
      </c>
      <c r="C114" s="55" t="e">
        <f ca="1">OFFSET(Вентиляторы!#REF!,B114-1,0)</f>
        <v>#REF!</v>
      </c>
      <c r="D114" s="55" t="e">
        <f t="shared" ca="1" si="24"/>
        <v>#REF!</v>
      </c>
      <c r="E114" s="522" t="e">
        <f ca="1">OFFSET(Вентиляторы!#REF!,B114-1,0)</f>
        <v>#REF!</v>
      </c>
      <c r="F114" s="500" t="s">
        <v>591</v>
      </c>
      <c r="G114" s="56" t="e">
        <f t="shared" si="25"/>
        <v>#REF!</v>
      </c>
      <c r="H114" s="56" t="e">
        <f ca="1">($G114/OFFSET(ПП_Свод!T$23,MATCH(M114,ПП_Свод!C$24:C$37,0),0)-1) &gt; -Задача_Допуск/100</f>
        <v>#REF!</v>
      </c>
      <c r="I114" s="56" t="str">
        <f t="shared" si="22"/>
        <v>630x630=ЛОЖЬ</v>
      </c>
      <c r="J114" s="57" t="e">
        <f t="shared" ca="1" si="15"/>
        <v>#N/A</v>
      </c>
      <c r="K114" s="148">
        <v>630</v>
      </c>
      <c r="L114" s="148">
        <v>630</v>
      </c>
      <c r="M114" s="54" t="str">
        <f t="shared" si="26"/>
        <v>630x630</v>
      </c>
      <c r="N114" s="148" t="s">
        <v>45</v>
      </c>
      <c r="O114" s="148">
        <v>135</v>
      </c>
      <c r="P114" s="148" t="s">
        <v>43</v>
      </c>
      <c r="Q114" s="148">
        <v>7.5</v>
      </c>
      <c r="R114" s="148">
        <v>15.1</v>
      </c>
      <c r="S114" s="148" t="s">
        <v>610</v>
      </c>
      <c r="T114" s="148" t="b">
        <v>1</v>
      </c>
      <c r="U114" s="148" t="b">
        <v>0</v>
      </c>
      <c r="V114" s="140" t="s">
        <v>170</v>
      </c>
      <c r="W114" s="140" t="s">
        <v>170</v>
      </c>
      <c r="X114" s="140" t="s">
        <v>170</v>
      </c>
      <c r="Y114" s="140" t="s">
        <v>170</v>
      </c>
      <c r="Z114" s="58">
        <v>0</v>
      </c>
      <c r="AA114" s="59">
        <v>3000</v>
      </c>
      <c r="AB114" s="59">
        <v>5000</v>
      </c>
      <c r="AC114" s="59">
        <v>6000</v>
      </c>
      <c r="AD114" s="59">
        <v>9000</v>
      </c>
      <c r="AE114" s="59">
        <v>12000</v>
      </c>
      <c r="AF114" s="59">
        <v>14000</v>
      </c>
      <c r="AG114" s="59">
        <v>2360</v>
      </c>
      <c r="AH114" s="59">
        <v>2300</v>
      </c>
      <c r="AI114" s="59">
        <v>2240</v>
      </c>
      <c r="AJ114" s="59">
        <v>2170</v>
      </c>
      <c r="AK114" s="59">
        <v>1780</v>
      </c>
      <c r="AL114" s="59">
        <v>960</v>
      </c>
      <c r="AM114" s="59">
        <v>0</v>
      </c>
      <c r="AN114" s="74">
        <f>INDEX(LINEST($AG114:$AM114,$Z114:$AF114^Данные!$A$106:$A$110),1,6)</f>
        <v>2359.9600060846942</v>
      </c>
      <c r="AO114" s="74">
        <f>INDEX(LINEST($AG114:$AM114,$Z114:$AF114^Данные!$A$106:$A$110),1,5)</f>
        <v>-5.0420110381424431E-2</v>
      </c>
      <c r="AP114" s="74">
        <f>INDEX(LINEST($AG114:$AM114,$Z114:$AF114^Данные!$A$106:$A$110),1,4)</f>
        <v>2.0954261806765957E-5</v>
      </c>
      <c r="AQ114" s="74">
        <f>INDEX(LINEST($AG114:$AM114,$Z114:$AF114^Данные!$A$106:$A$110),1,3)</f>
        <v>-4.3707024024063852E-9</v>
      </c>
      <c r="AR114" s="74">
        <f>INDEX(LINEST($AG114:$AM114,$Z114:$AF114^Данные!$A$106:$A$110),1,2)</f>
        <v>2.8933617095967161E-13</v>
      </c>
      <c r="AS114" s="74">
        <f>INDEX(LINEST($AG114:$AM114,$Z114:$AF114^Данные!$A$106:$A$110),1,1)</f>
        <v>-9.0793527430832668E-18</v>
      </c>
      <c r="AT114" s="75">
        <v>0</v>
      </c>
      <c r="AU114" s="54" t="str">
        <f t="shared" si="27"/>
        <v>Россия</v>
      </c>
      <c r="AV114" s="41"/>
    </row>
    <row r="115" spans="1:52">
      <c r="A115" s="538" t="s">
        <v>778</v>
      </c>
      <c r="B115" s="54">
        <f>MATCH(A115,Вентиляторы!B$6:B$1864,0)</f>
        <v>56</v>
      </c>
      <c r="C115" s="55" t="e">
        <f ca="1">OFFSET(Вентиляторы!#REF!,B115-1,0)</f>
        <v>#REF!</v>
      </c>
      <c r="D115" s="55" t="e">
        <f t="shared" ca="1" si="24"/>
        <v>#REF!</v>
      </c>
      <c r="E115" s="522" t="e">
        <f ca="1">OFFSET(Вентиляторы!#REF!,B115-1,0)</f>
        <v>#REF!</v>
      </c>
      <c r="F115" s="500" t="s">
        <v>591</v>
      </c>
      <c r="G115" s="56" t="e">
        <f t="shared" si="25"/>
        <v>#REF!</v>
      </c>
      <c r="H115" s="56" t="e">
        <f ca="1">($G115/OFFSET(ПП_Свод!T$23,MATCH(M115,ПП_Свод!C$24:C$37,0),0)-1) &gt; -Задача_Допуск/100</f>
        <v>#REF!</v>
      </c>
      <c r="I115" s="56" t="str">
        <f t="shared" si="22"/>
        <v>700x700=ЛОЖЬ</v>
      </c>
      <c r="J115" s="57" t="e">
        <f t="shared" ca="1" si="15"/>
        <v>#N/A</v>
      </c>
      <c r="K115" s="148">
        <v>700</v>
      </c>
      <c r="L115" s="148">
        <v>700</v>
      </c>
      <c r="M115" s="54" t="str">
        <f t="shared" si="26"/>
        <v>700x700</v>
      </c>
      <c r="N115" s="148" t="s">
        <v>45</v>
      </c>
      <c r="O115" s="148">
        <v>126</v>
      </c>
      <c r="P115" s="148" t="s">
        <v>43</v>
      </c>
      <c r="Q115" s="148">
        <v>1.5</v>
      </c>
      <c r="R115" s="148">
        <v>3.7</v>
      </c>
      <c r="S115" s="148" t="s">
        <v>610</v>
      </c>
      <c r="T115" s="148" t="b">
        <v>1</v>
      </c>
      <c r="U115" s="148" t="b">
        <v>0</v>
      </c>
      <c r="V115" s="140" t="s">
        <v>170</v>
      </c>
      <c r="W115" s="140" t="s">
        <v>170</v>
      </c>
      <c r="X115" s="140" t="s">
        <v>170</v>
      </c>
      <c r="Y115" s="140" t="s">
        <v>170</v>
      </c>
      <c r="Z115" s="58">
        <v>0</v>
      </c>
      <c r="AA115" s="59">
        <v>1500</v>
      </c>
      <c r="AB115" s="59">
        <v>3600</v>
      </c>
      <c r="AC115" s="59">
        <v>5700</v>
      </c>
      <c r="AD115" s="59">
        <v>7200</v>
      </c>
      <c r="AE115" s="59">
        <v>8400</v>
      </c>
      <c r="AF115" s="59">
        <v>9500</v>
      </c>
      <c r="AG115" s="59">
        <v>720</v>
      </c>
      <c r="AH115" s="59">
        <v>710</v>
      </c>
      <c r="AI115" s="59">
        <v>660</v>
      </c>
      <c r="AJ115" s="59">
        <v>550</v>
      </c>
      <c r="AK115" s="59">
        <v>400</v>
      </c>
      <c r="AL115" s="59">
        <v>210</v>
      </c>
      <c r="AM115" s="59">
        <v>0</v>
      </c>
      <c r="AN115" s="74">
        <f>INDEX(LINEST($AG115:$AM115,$Z115:$AF115^Данные!$A$106:$A$110),1,6)</f>
        <v>719.91096324209832</v>
      </c>
      <c r="AO115" s="74">
        <f>INDEX(LINEST($AG115:$AM115,$Z115:$AF115^Данные!$A$106:$A$110),1,5)</f>
        <v>1.1301716255395724E-2</v>
      </c>
      <c r="AP115" s="74">
        <f>INDEX(LINEST($AG115:$AM115,$Z115:$AF115^Данные!$A$106:$A$110),1,4)</f>
        <v>-1.7424973004143349E-5</v>
      </c>
      <c r="AQ115" s="74">
        <f>INDEX(LINEST($AG115:$AM115,$Z115:$AF115^Данные!$A$106:$A$110),1,3)</f>
        <v>4.7092553679174729E-9</v>
      </c>
      <c r="AR115" s="74">
        <f>INDEX(LINEST($AG115:$AM115,$Z115:$AF115^Данные!$A$106:$A$110),1,2)</f>
        <v>-6.6844432702383591E-13</v>
      </c>
      <c r="AS115" s="74">
        <f>INDEX(LINEST($AG115:$AM115,$Z115:$AF115^Данные!$A$106:$A$110),1,1)</f>
        <v>2.7809993509973666E-17</v>
      </c>
      <c r="AT115" s="75">
        <v>0</v>
      </c>
      <c r="AU115" s="54" t="str">
        <f t="shared" si="27"/>
        <v>Россия</v>
      </c>
      <c r="AV115" s="41"/>
    </row>
    <row r="116" spans="1:52">
      <c r="A116" s="538" t="s">
        <v>779</v>
      </c>
      <c r="B116" s="54">
        <f>MATCH(A116,Вентиляторы!B$6:B$1864,0)</f>
        <v>57</v>
      </c>
      <c r="C116" s="55" t="e">
        <f ca="1">OFFSET(Вентиляторы!#REF!,B116-1,0)</f>
        <v>#REF!</v>
      </c>
      <c r="D116" s="55" t="e">
        <f t="shared" ca="1" si="24"/>
        <v>#REF!</v>
      </c>
      <c r="E116" s="522" t="e">
        <f ca="1">OFFSET(Вентиляторы!#REF!,B116-1,0)</f>
        <v>#REF!</v>
      </c>
      <c r="F116" s="500" t="s">
        <v>591</v>
      </c>
      <c r="G116" s="56" t="e">
        <f t="shared" si="25"/>
        <v>#REF!</v>
      </c>
      <c r="H116" s="56" t="e">
        <f ca="1">($G116/OFFSET(ПП_Свод!T$23,MATCH(M116,ПП_Свод!C$24:C$37,0),0)-1) &gt; -Задача_Допуск/100</f>
        <v>#REF!</v>
      </c>
      <c r="I116" s="56" t="str">
        <f t="shared" si="22"/>
        <v>750x750=ЛОЖЬ</v>
      </c>
      <c r="J116" s="57" t="e">
        <f t="shared" ca="1" si="15"/>
        <v>#N/A</v>
      </c>
      <c r="K116" s="148">
        <v>750</v>
      </c>
      <c r="L116" s="148">
        <v>750</v>
      </c>
      <c r="M116" s="54" t="str">
        <f t="shared" si="26"/>
        <v>750x750</v>
      </c>
      <c r="N116" s="148" t="s">
        <v>45</v>
      </c>
      <c r="O116" s="148">
        <v>125</v>
      </c>
      <c r="P116" s="148" t="s">
        <v>43</v>
      </c>
      <c r="Q116" s="148">
        <v>3</v>
      </c>
      <c r="R116" s="148">
        <v>6.8</v>
      </c>
      <c r="S116" s="148" t="s">
        <v>610</v>
      </c>
      <c r="T116" s="148" t="b">
        <v>1</v>
      </c>
      <c r="U116" s="148" t="b">
        <v>0</v>
      </c>
      <c r="V116" s="140" t="s">
        <v>170</v>
      </c>
      <c r="W116" s="140" t="s">
        <v>170</v>
      </c>
      <c r="X116" s="140" t="s">
        <v>170</v>
      </c>
      <c r="Y116" s="140" t="s">
        <v>170</v>
      </c>
      <c r="Z116" s="58">
        <v>0</v>
      </c>
      <c r="AA116" s="59">
        <v>3000</v>
      </c>
      <c r="AB116" s="59">
        <v>6000</v>
      </c>
      <c r="AC116" s="59">
        <v>9000</v>
      </c>
      <c r="AD116" s="59">
        <v>10500</v>
      </c>
      <c r="AE116" s="59">
        <v>12600</v>
      </c>
      <c r="AF116" s="59">
        <v>14400</v>
      </c>
      <c r="AG116" s="59">
        <v>890</v>
      </c>
      <c r="AH116" s="59">
        <v>870</v>
      </c>
      <c r="AI116" s="59">
        <v>830</v>
      </c>
      <c r="AJ116" s="59">
        <v>680</v>
      </c>
      <c r="AK116" s="59">
        <v>560</v>
      </c>
      <c r="AL116" s="59">
        <v>320</v>
      </c>
      <c r="AM116" s="59">
        <v>0</v>
      </c>
      <c r="AN116" s="74">
        <f>INDEX(LINEST($AG116:$AM116,$Z116:$AF116^Данные!$A$106:$A$110),1,6)</f>
        <v>889.99731899787014</v>
      </c>
      <c r="AO116" s="74">
        <f>INDEX(LINEST($AG116:$AM116,$Z116:$AF116^Данные!$A$106:$A$110),1,5)</f>
        <v>-3.0979339721665961E-2</v>
      </c>
      <c r="AP116" s="74">
        <f>INDEX(LINEST($AG116:$AM116,$Z116:$AF116^Данные!$A$106:$A$110),1,4)</f>
        <v>1.5687840430936247E-5</v>
      </c>
      <c r="AQ116" s="74">
        <f>INDEX(LINEST($AG116:$AM116,$Z116:$AF116^Данные!$A$106:$A$110),1,3)</f>
        <v>-3.1332405160731198E-9</v>
      </c>
      <c r="AR116" s="74">
        <f>INDEX(LINEST($AG116:$AM116,$Z116:$AF116^Данные!$A$106:$A$110),1,2)</f>
        <v>2.2059147752571895E-13</v>
      </c>
      <c r="AS116" s="74">
        <f>INDEX(LINEST($AG116:$AM116,$Z116:$AF116^Данные!$A$106:$A$110),1,1)</f>
        <v>-6.1794700237413322E-18</v>
      </c>
      <c r="AT116" s="75">
        <v>0</v>
      </c>
      <c r="AU116" s="54" t="str">
        <f t="shared" si="27"/>
        <v>Россия</v>
      </c>
      <c r="AV116" s="41"/>
    </row>
    <row r="117" spans="1:52">
      <c r="A117" s="538" t="s">
        <v>780</v>
      </c>
      <c r="B117" s="54">
        <f>MATCH(A117,Вентиляторы!B$6:B$1864,0)</f>
        <v>59</v>
      </c>
      <c r="C117" s="55" t="e">
        <f ca="1">OFFSET(Вентиляторы!#REF!,B117-1,0)</f>
        <v>#REF!</v>
      </c>
      <c r="D117" s="55" t="e">
        <f t="shared" ca="1" si="24"/>
        <v>#REF!</v>
      </c>
      <c r="E117" s="522" t="e">
        <f ca="1">OFFSET(Вентиляторы!#REF!,B117-1,0)</f>
        <v>#REF!</v>
      </c>
      <c r="F117" s="500" t="s">
        <v>591</v>
      </c>
      <c r="G117" s="56" t="e">
        <f t="shared" si="25"/>
        <v>#REF!</v>
      </c>
      <c r="H117" s="56" t="e">
        <f ca="1">($G117/OFFSET(ПП_Свод!T$23,MATCH(M117,ПП_Свод!C$24:C$37,0),0)-1) &gt; -Задача_Допуск/100</f>
        <v>#REF!</v>
      </c>
      <c r="I117" s="56" t="str">
        <f t="shared" si="22"/>
        <v>850x850=ЛОЖЬ</v>
      </c>
      <c r="J117" s="57" t="e">
        <f t="shared" ca="1" si="15"/>
        <v>#N/A</v>
      </c>
      <c r="K117" s="148">
        <v>850</v>
      </c>
      <c r="L117" s="148">
        <v>850</v>
      </c>
      <c r="M117" s="54" t="str">
        <f t="shared" si="26"/>
        <v>850x850</v>
      </c>
      <c r="N117" s="148" t="s">
        <v>45</v>
      </c>
      <c r="O117" s="148">
        <v>203</v>
      </c>
      <c r="P117" s="148" t="s">
        <v>43</v>
      </c>
      <c r="Q117" s="148">
        <v>5.5</v>
      </c>
      <c r="R117" s="148">
        <v>11.7</v>
      </c>
      <c r="S117" s="148" t="s">
        <v>610</v>
      </c>
      <c r="T117" s="148" t="b">
        <v>1</v>
      </c>
      <c r="U117" s="148" t="b">
        <v>0</v>
      </c>
      <c r="V117" s="140" t="s">
        <v>170</v>
      </c>
      <c r="W117" s="140" t="s">
        <v>170</v>
      </c>
      <c r="X117" s="140" t="s">
        <v>170</v>
      </c>
      <c r="Y117" s="140" t="s">
        <v>170</v>
      </c>
      <c r="Z117" s="58">
        <v>0</v>
      </c>
      <c r="AA117" s="59">
        <v>6000</v>
      </c>
      <c r="AB117" s="59">
        <v>9000</v>
      </c>
      <c r="AC117" s="59">
        <v>12000</v>
      </c>
      <c r="AD117" s="59">
        <v>15000</v>
      </c>
      <c r="AE117" s="59">
        <v>18000</v>
      </c>
      <c r="AF117" s="59">
        <v>20500</v>
      </c>
      <c r="AG117" s="59">
        <v>1200</v>
      </c>
      <c r="AH117" s="59">
        <v>1100</v>
      </c>
      <c r="AI117" s="59">
        <v>1060</v>
      </c>
      <c r="AJ117" s="59">
        <v>950</v>
      </c>
      <c r="AK117" s="59">
        <v>740</v>
      </c>
      <c r="AL117" s="59">
        <v>380</v>
      </c>
      <c r="AM117" s="59">
        <v>0</v>
      </c>
      <c r="AN117" s="74">
        <f>INDEX(LINEST($AG117:$AM117,$Z117:$AF117^Данные!$A$106:$A$110),1,6)</f>
        <v>1199.9642341778938</v>
      </c>
      <c r="AO117" s="74">
        <f>INDEX(LINEST($AG117:$AM117,$Z117:$AF117^Данные!$A$106:$A$110),1,5)</f>
        <v>-2.3725019585418047E-2</v>
      </c>
      <c r="AP117" s="74">
        <f>INDEX(LINEST($AG117:$AM117,$Z117:$AF117^Данные!$A$106:$A$110),1,4)</f>
        <v>3.8106370643631715E-7</v>
      </c>
      <c r="AQ117" s="74">
        <f>INDEX(LINEST($AG117:$AM117,$Z117:$AF117^Данные!$A$106:$A$110),1,3)</f>
        <v>3.4862601871963388E-10</v>
      </c>
      <c r="AR117" s="74">
        <f>INDEX(LINEST($AG117:$AM117,$Z117:$AF117^Данные!$A$106:$A$110),1,2)</f>
        <v>-4.0961971838381215E-14</v>
      </c>
      <c r="AS117" s="74">
        <f>INDEX(LINEST($AG117:$AM117,$Z117:$AF117^Данные!$A$106:$A$110),1,1)</f>
        <v>9.2715630806280167E-19</v>
      </c>
      <c r="AT117" s="75">
        <v>0</v>
      </c>
      <c r="AU117" s="54" t="str">
        <f t="shared" si="27"/>
        <v>Россия</v>
      </c>
      <c r="AV117" s="41"/>
    </row>
    <row r="118" spans="1:52">
      <c r="A118" s="539" t="s">
        <v>781</v>
      </c>
      <c r="B118" s="63">
        <f>MATCH(A118,Вентиляторы!B$6:B$1864,0)</f>
        <v>61</v>
      </c>
      <c r="C118" s="69" t="e">
        <f ca="1">OFFSET(Вентиляторы!#REF!,B118-1,0)</f>
        <v>#REF!</v>
      </c>
      <c r="D118" s="69" t="e">
        <f t="shared" ca="1" si="24"/>
        <v>#REF!</v>
      </c>
      <c r="E118" s="523" t="e">
        <f ca="1">OFFSET(Вентиляторы!#REF!,B118-1,0)</f>
        <v>#REF!</v>
      </c>
      <c r="F118" s="146" t="s">
        <v>591</v>
      </c>
      <c r="G118" s="70" t="e">
        <f t="shared" si="25"/>
        <v>#REF!</v>
      </c>
      <c r="H118" s="70" t="e">
        <f ca="1">($G118/OFFSET(ПП_Свод!T$23,MATCH(M118,ПП_Свод!C$24:C$37,0),0)-1) &gt; -Задача_Допуск/100</f>
        <v>#REF!</v>
      </c>
      <c r="I118" s="70" t="str">
        <f t="shared" si="22"/>
        <v>1000x1000=ЛОЖЬ</v>
      </c>
      <c r="J118" s="71" t="e">
        <f t="shared" ca="1" si="15"/>
        <v>#N/A</v>
      </c>
      <c r="K118" s="149">
        <v>1000</v>
      </c>
      <c r="L118" s="149">
        <v>1000</v>
      </c>
      <c r="M118" s="63" t="str">
        <f t="shared" si="26"/>
        <v>1000x1000</v>
      </c>
      <c r="N118" s="149" t="s">
        <v>45</v>
      </c>
      <c r="O118" s="149">
        <v>268</v>
      </c>
      <c r="P118" s="149" t="s">
        <v>43</v>
      </c>
      <c r="Q118" s="149">
        <v>11</v>
      </c>
      <c r="R118" s="149">
        <v>21.5</v>
      </c>
      <c r="S118" s="149" t="s">
        <v>610</v>
      </c>
      <c r="T118" s="149" t="b">
        <v>1</v>
      </c>
      <c r="U118" s="149" t="b">
        <v>0</v>
      </c>
      <c r="V118" s="141" t="s">
        <v>170</v>
      </c>
      <c r="W118" s="141" t="s">
        <v>170</v>
      </c>
      <c r="X118" s="141" t="s">
        <v>170</v>
      </c>
      <c r="Y118" s="141" t="s">
        <v>170</v>
      </c>
      <c r="Z118" s="64">
        <v>0</v>
      </c>
      <c r="AA118" s="65">
        <v>6000</v>
      </c>
      <c r="AB118" s="65">
        <v>12000</v>
      </c>
      <c r="AC118" s="65">
        <v>17400</v>
      </c>
      <c r="AD118" s="65">
        <v>21000</v>
      </c>
      <c r="AE118" s="65">
        <v>24000</v>
      </c>
      <c r="AF118" s="65">
        <v>30000</v>
      </c>
      <c r="AG118" s="65">
        <v>1570</v>
      </c>
      <c r="AH118" s="65">
        <v>1500</v>
      </c>
      <c r="AI118" s="65">
        <v>1440</v>
      </c>
      <c r="AJ118" s="65">
        <v>1250</v>
      </c>
      <c r="AK118" s="65">
        <v>1040</v>
      </c>
      <c r="AL118" s="65">
        <v>760</v>
      </c>
      <c r="AM118" s="65">
        <v>0</v>
      </c>
      <c r="AN118" s="137">
        <f>INDEX(LINEST($AG118:$AM118,$Z118:$AF118^Данные!$A$106:$A$110),1,6)</f>
        <v>1569.8728804765401</v>
      </c>
      <c r="AO118" s="137">
        <f>INDEX(LINEST($AG118:$AM118,$Z118:$AF118^Данные!$A$106:$A$110),1,5)</f>
        <v>-2.1800689068868249E-2</v>
      </c>
      <c r="AP118" s="137">
        <f>INDEX(LINEST($AG118:$AM118,$Z118:$AF118^Данные!$A$106:$A$110),1,4)</f>
        <v>2.6104156448046055E-6</v>
      </c>
      <c r="AQ118" s="137">
        <f>INDEX(LINEST($AG118:$AM118,$Z118:$AF118^Данные!$A$106:$A$110),1,3)</f>
        <v>-1.5355713131135754E-10</v>
      </c>
      <c r="AR118" s="137">
        <f>INDEX(LINEST($AG118:$AM118,$Z118:$AF118^Данные!$A$106:$A$110),1,2)</f>
        <v>7.217448895574142E-16</v>
      </c>
      <c r="AS118" s="137">
        <f>INDEX(LINEST($AG118:$AM118,$Z118:$AF118^Данные!$A$106:$A$110),1,1)</f>
        <v>1.2178182080724103E-20</v>
      </c>
      <c r="AT118" s="138">
        <v>0</v>
      </c>
      <c r="AU118" s="63" t="str">
        <f t="shared" si="27"/>
        <v>Россия</v>
      </c>
      <c r="AV118" s="41"/>
    </row>
    <row r="119" spans="1:52">
      <c r="A119" s="151"/>
      <c r="B119" s="79"/>
      <c r="C119" s="152"/>
      <c r="D119" s="152"/>
      <c r="E119" s="153"/>
      <c r="F119" s="153"/>
      <c r="G119" s="154"/>
      <c r="H119" s="154"/>
      <c r="I119" s="154"/>
      <c r="J119" s="155"/>
      <c r="K119" s="154"/>
      <c r="L119" s="154"/>
      <c r="M119" s="154"/>
      <c r="N119" s="155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151"/>
      <c r="AA119" s="151"/>
      <c r="AB119" s="151"/>
      <c r="AC119" s="151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77"/>
      <c r="AS119" s="77"/>
      <c r="AT119" s="77"/>
      <c r="AU119" s="77"/>
      <c r="AV119" s="77"/>
      <c r="AW119" s="77"/>
      <c r="AX119" s="77"/>
      <c r="AY119" s="53"/>
      <c r="AZ119" s="41"/>
    </row>
    <row r="120" spans="1:52">
      <c r="A120" s="156" t="s">
        <v>44</v>
      </c>
      <c r="B120" s="79"/>
      <c r="C120" s="152"/>
      <c r="D120" s="152"/>
      <c r="E120" s="153"/>
      <c r="F120" s="153"/>
      <c r="G120" s="154"/>
      <c r="H120" s="154"/>
      <c r="I120" s="154"/>
      <c r="J120" s="155"/>
      <c r="K120" s="154"/>
      <c r="L120" s="154"/>
      <c r="M120" s="154"/>
      <c r="N120" s="155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151"/>
      <c r="AA120" s="151"/>
      <c r="AB120" s="151"/>
      <c r="AC120" s="151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7"/>
      <c r="AS120" s="77"/>
      <c r="AT120" s="77"/>
      <c r="AU120" s="77"/>
      <c r="AV120" s="77"/>
      <c r="AW120" s="77"/>
      <c r="AX120" s="77"/>
      <c r="AY120" s="53"/>
      <c r="AZ120" s="41"/>
    </row>
    <row r="121" spans="1:52">
      <c r="A121" s="42" t="s">
        <v>60</v>
      </c>
      <c r="B121" s="43" t="s">
        <v>85</v>
      </c>
      <c r="C121" s="43" t="s">
        <v>86</v>
      </c>
      <c r="D121" s="43" t="s">
        <v>87</v>
      </c>
      <c r="E121" s="43" t="s">
        <v>22</v>
      </c>
      <c r="F121" s="43"/>
      <c r="G121" s="43" t="s">
        <v>92</v>
      </c>
      <c r="H121" s="43" t="s">
        <v>93</v>
      </c>
      <c r="I121" s="43" t="s">
        <v>94</v>
      </c>
      <c r="J121" s="43" t="s">
        <v>95</v>
      </c>
      <c r="K121" s="43" t="s">
        <v>96</v>
      </c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P121" s="40"/>
      <c r="AQ121" s="40"/>
    </row>
    <row r="122" spans="1:52">
      <c r="A122" s="139" t="s">
        <v>242</v>
      </c>
      <c r="B122" s="44" t="e">
        <f>MATCH(A122,#REF!,0)</f>
        <v>#REF!</v>
      </c>
      <c r="C122" s="45" t="e">
        <f ca="1">OFFSET(#REF!,B122-1,0)</f>
        <v>#REF!</v>
      </c>
      <c r="D122" s="45" t="e">
        <f t="shared" ref="D122:D132" ca="1" si="28">MID(C122,SEARCH("LV-",C122,1),IFERROR(SEARCH("(",C122,1),LEN(C122)+2)-SEARCH("LV-",C122,1)-1)</f>
        <v>#REF!</v>
      </c>
      <c r="E122" s="506" t="e">
        <f ca="1">OFFSET(#REF!,B122-1,0)</f>
        <v>#REF!</v>
      </c>
      <c r="F122" s="145"/>
      <c r="G122" s="147">
        <v>100</v>
      </c>
      <c r="H122" s="147"/>
      <c r="I122" s="44">
        <f t="shared" ref="I122:I136" si="29">IF(H122&gt;0,CONCATENATE(G122,"x",H122),G122)</f>
        <v>100</v>
      </c>
      <c r="J122" s="147">
        <v>0</v>
      </c>
      <c r="K122" s="147"/>
      <c r="L122" s="53"/>
      <c r="M122" s="53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P122" s="40"/>
      <c r="AQ122" s="40"/>
    </row>
    <row r="123" spans="1:52">
      <c r="A123" s="139" t="s">
        <v>243</v>
      </c>
      <c r="B123" s="44" t="e">
        <f>MATCH(A123,#REF!,0)</f>
        <v>#REF!</v>
      </c>
      <c r="C123" s="45" t="e">
        <f ca="1">OFFSET(#REF!,B123-1,0)</f>
        <v>#REF!</v>
      </c>
      <c r="D123" s="45" t="e">
        <f t="shared" ca="1" si="28"/>
        <v>#REF!</v>
      </c>
      <c r="E123" s="506" t="e">
        <f ca="1">OFFSET(#REF!,B123-1,0)</f>
        <v>#REF!</v>
      </c>
      <c r="F123" s="145"/>
      <c r="G123" s="147">
        <v>125</v>
      </c>
      <c r="H123" s="147"/>
      <c r="I123" s="44">
        <f t="shared" si="29"/>
        <v>125</v>
      </c>
      <c r="J123" s="147">
        <v>0</v>
      </c>
      <c r="K123" s="147"/>
      <c r="L123" s="53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P123" s="40"/>
      <c r="AQ123" s="40"/>
    </row>
    <row r="124" spans="1:52">
      <c r="A124" s="139" t="s">
        <v>23</v>
      </c>
      <c r="B124" s="44" t="e">
        <f>MATCH(A124,#REF!,0)</f>
        <v>#REF!</v>
      </c>
      <c r="C124" s="45" t="e">
        <f ca="1">OFFSET(#REF!,B124-1,0)</f>
        <v>#REF!</v>
      </c>
      <c r="D124" s="45" t="e">
        <f t="shared" ca="1" si="28"/>
        <v>#REF!</v>
      </c>
      <c r="E124" s="506" t="e">
        <f ca="1">OFFSET(#REF!,B124-1,0)</f>
        <v>#REF!</v>
      </c>
      <c r="F124" s="145"/>
      <c r="G124" s="147">
        <v>160</v>
      </c>
      <c r="H124" s="147"/>
      <c r="I124" s="44">
        <f t="shared" si="29"/>
        <v>160</v>
      </c>
      <c r="J124" s="147">
        <v>0</v>
      </c>
      <c r="K124" s="147"/>
      <c r="L124" s="53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P124" s="40"/>
      <c r="AQ124" s="40"/>
    </row>
    <row r="125" spans="1:52">
      <c r="A125" s="139" t="s">
        <v>24</v>
      </c>
      <c r="B125" s="44" t="e">
        <f>MATCH(A125,#REF!,0)</f>
        <v>#REF!</v>
      </c>
      <c r="C125" s="45" t="e">
        <f ca="1">OFFSET(#REF!,B125-1,0)</f>
        <v>#REF!</v>
      </c>
      <c r="D125" s="45" t="e">
        <f t="shared" ca="1" si="28"/>
        <v>#REF!</v>
      </c>
      <c r="E125" s="506" t="e">
        <f ca="1">OFFSET(#REF!,B125-1,0)</f>
        <v>#REF!</v>
      </c>
      <c r="F125" s="145"/>
      <c r="G125" s="147">
        <v>200</v>
      </c>
      <c r="H125" s="147"/>
      <c r="I125" s="44">
        <f t="shared" si="29"/>
        <v>200</v>
      </c>
      <c r="J125" s="147">
        <v>0</v>
      </c>
      <c r="K125" s="147"/>
      <c r="L125" s="53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P125" s="40"/>
      <c r="AQ125" s="40"/>
    </row>
    <row r="126" spans="1:52">
      <c r="A126" s="139" t="s">
        <v>25</v>
      </c>
      <c r="B126" s="44" t="e">
        <f>MATCH(A126,#REF!,0)</f>
        <v>#REF!</v>
      </c>
      <c r="C126" s="45" t="e">
        <f ca="1">OFFSET(#REF!,B126-1,0)</f>
        <v>#REF!</v>
      </c>
      <c r="D126" s="45" t="e">
        <f t="shared" ca="1" si="28"/>
        <v>#REF!</v>
      </c>
      <c r="E126" s="506" t="e">
        <f ca="1">OFFSET(#REF!,B126-1,0)</f>
        <v>#REF!</v>
      </c>
      <c r="F126" s="145"/>
      <c r="G126" s="147">
        <v>250</v>
      </c>
      <c r="H126" s="147"/>
      <c r="I126" s="44">
        <f t="shared" si="29"/>
        <v>250</v>
      </c>
      <c r="J126" s="147">
        <v>0</v>
      </c>
      <c r="K126" s="147"/>
      <c r="L126" s="53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P126" s="40"/>
      <c r="AQ126" s="40"/>
    </row>
    <row r="127" spans="1:52">
      <c r="A127" s="139" t="s">
        <v>26</v>
      </c>
      <c r="B127" s="44" t="e">
        <f>MATCH(A127,#REF!,0)</f>
        <v>#REF!</v>
      </c>
      <c r="C127" s="45" t="e">
        <f ca="1">OFFSET(#REF!,B127-1,0)</f>
        <v>#REF!</v>
      </c>
      <c r="D127" s="45" t="e">
        <f t="shared" ca="1" si="28"/>
        <v>#REF!</v>
      </c>
      <c r="E127" s="506" t="e">
        <f ca="1">OFFSET(#REF!,B127-1,0)</f>
        <v>#REF!</v>
      </c>
      <c r="F127" s="145"/>
      <c r="G127" s="147">
        <v>315</v>
      </c>
      <c r="H127" s="147"/>
      <c r="I127" s="44">
        <f t="shared" si="29"/>
        <v>315</v>
      </c>
      <c r="J127" s="147">
        <v>0</v>
      </c>
      <c r="K127" s="147"/>
      <c r="L127" s="53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P127" s="40"/>
      <c r="AQ127" s="40"/>
    </row>
    <row r="128" spans="1:52" ht="11.4" customHeight="1">
      <c r="A128" s="139" t="s">
        <v>27</v>
      </c>
      <c r="B128" s="44" t="e">
        <f>MATCH(A128,#REF!,0)</f>
        <v>#REF!</v>
      </c>
      <c r="C128" s="45" t="e">
        <f ca="1">OFFSET(#REF!,B128-1,0)</f>
        <v>#REF!</v>
      </c>
      <c r="D128" s="45" t="e">
        <f t="shared" ca="1" si="28"/>
        <v>#REF!</v>
      </c>
      <c r="E128" s="506" t="e">
        <f ca="1">OFFSET(#REF!,B128-1,0)</f>
        <v>#REF!</v>
      </c>
      <c r="F128" s="145"/>
      <c r="G128" s="147">
        <v>400</v>
      </c>
      <c r="H128" s="147">
        <v>200</v>
      </c>
      <c r="I128" s="44" t="str">
        <f t="shared" si="29"/>
        <v>400x200</v>
      </c>
      <c r="J128" s="147">
        <v>120</v>
      </c>
      <c r="K128" s="147"/>
      <c r="L128" s="53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P128" s="40"/>
      <c r="AQ128" s="40"/>
    </row>
    <row r="129" spans="1:52" ht="11.4" customHeight="1">
      <c r="A129" s="139" t="s">
        <v>28</v>
      </c>
      <c r="B129" s="44" t="e">
        <f>MATCH(A129,#REF!,0)</f>
        <v>#REF!</v>
      </c>
      <c r="C129" s="45" t="e">
        <f ca="1">OFFSET(#REF!,B129-1,0)</f>
        <v>#REF!</v>
      </c>
      <c r="D129" s="45" t="e">
        <f t="shared" ca="1" si="28"/>
        <v>#REF!</v>
      </c>
      <c r="E129" s="506" t="e">
        <f ca="1">OFFSET(#REF!,B129-1,0)</f>
        <v>#REF!</v>
      </c>
      <c r="F129" s="145"/>
      <c r="G129" s="147">
        <v>500</v>
      </c>
      <c r="H129" s="147">
        <v>250</v>
      </c>
      <c r="I129" s="44" t="str">
        <f t="shared" si="29"/>
        <v>500x250</v>
      </c>
      <c r="J129" s="147">
        <v>120</v>
      </c>
      <c r="K129" s="147"/>
      <c r="L129" s="53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P129" s="40"/>
      <c r="AQ129" s="40"/>
    </row>
    <row r="130" spans="1:52" ht="11.4" customHeight="1">
      <c r="A130" s="139" t="s">
        <v>29</v>
      </c>
      <c r="B130" s="44" t="e">
        <f>MATCH(A130,#REF!,0)</f>
        <v>#REF!</v>
      </c>
      <c r="C130" s="45" t="e">
        <f ca="1">OFFSET(#REF!,B130-1,0)</f>
        <v>#REF!</v>
      </c>
      <c r="D130" s="45" t="e">
        <f t="shared" ca="1" si="28"/>
        <v>#REF!</v>
      </c>
      <c r="E130" s="506" t="e">
        <f ca="1">OFFSET(#REF!,B130-1,0)</f>
        <v>#REF!</v>
      </c>
      <c r="F130" s="145"/>
      <c r="G130" s="147">
        <v>500</v>
      </c>
      <c r="H130" s="147">
        <v>300</v>
      </c>
      <c r="I130" s="44" t="str">
        <f t="shared" si="29"/>
        <v>500x300</v>
      </c>
      <c r="J130" s="147">
        <v>120</v>
      </c>
      <c r="K130" s="147"/>
      <c r="L130" s="53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P130" s="40"/>
      <c r="AQ130" s="40"/>
    </row>
    <row r="131" spans="1:52">
      <c r="A131" s="139" t="s">
        <v>30</v>
      </c>
      <c r="B131" s="44" t="e">
        <f>MATCH(A131,#REF!,0)</f>
        <v>#REF!</v>
      </c>
      <c r="C131" s="45" t="e">
        <f ca="1">OFFSET(#REF!,B131-1,0)</f>
        <v>#REF!</v>
      </c>
      <c r="D131" s="45" t="e">
        <f t="shared" ca="1" si="28"/>
        <v>#REF!</v>
      </c>
      <c r="E131" s="506" t="e">
        <f ca="1">OFFSET(#REF!,B131-1,0)</f>
        <v>#REF!</v>
      </c>
      <c r="F131" s="145"/>
      <c r="G131" s="147">
        <v>600</v>
      </c>
      <c r="H131" s="147">
        <v>300</v>
      </c>
      <c r="I131" s="44" t="str">
        <f t="shared" si="29"/>
        <v>600x300</v>
      </c>
      <c r="J131" s="147">
        <v>120</v>
      </c>
      <c r="K131" s="147"/>
      <c r="L131" s="53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P131" s="40"/>
      <c r="AQ131" s="40"/>
    </row>
    <row r="132" spans="1:52">
      <c r="A132" s="139" t="s">
        <v>31</v>
      </c>
      <c r="B132" s="44" t="e">
        <f>MATCH(A132,#REF!,0)</f>
        <v>#REF!</v>
      </c>
      <c r="C132" s="45" t="e">
        <f ca="1">OFFSET(#REF!,B132-1,0)</f>
        <v>#REF!</v>
      </c>
      <c r="D132" s="45" t="e">
        <f t="shared" ca="1" si="28"/>
        <v>#REF!</v>
      </c>
      <c r="E132" s="506" t="e">
        <f ca="1">OFFSET(#REF!,B132-1,0)</f>
        <v>#REF!</v>
      </c>
      <c r="F132" s="145"/>
      <c r="G132" s="147">
        <v>600</v>
      </c>
      <c r="H132" s="147">
        <v>350</v>
      </c>
      <c r="I132" s="44" t="str">
        <f t="shared" si="29"/>
        <v>600x350</v>
      </c>
      <c r="J132" s="147">
        <v>120</v>
      </c>
      <c r="K132" s="147"/>
      <c r="L132" s="53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P132" s="40"/>
      <c r="AQ132" s="40"/>
    </row>
    <row r="133" spans="1:52">
      <c r="A133" s="139" t="s">
        <v>32</v>
      </c>
      <c r="B133" s="44" t="e">
        <f>MATCH(A133,#REF!,0)</f>
        <v>#REF!</v>
      </c>
      <c r="C133" s="45" t="e">
        <f ca="1">OFFSET(#REF!,B133-1,0)</f>
        <v>#REF!</v>
      </c>
      <c r="D133" s="45" t="e">
        <f ca="1">MID(C133,SEARCH("LV-",C133,1),IFERROR(SEARCH("(",C133,1),LEN(C133)+2)-SEARCH("LV-",C133,1)-1)</f>
        <v>#REF!</v>
      </c>
      <c r="E133" s="506" t="e">
        <f ca="1">OFFSET(#REF!,B133-1,0)</f>
        <v>#REF!</v>
      </c>
      <c r="F133" s="145"/>
      <c r="G133" s="147">
        <v>700</v>
      </c>
      <c r="H133" s="147">
        <v>400</v>
      </c>
      <c r="I133" s="44" t="str">
        <f t="shared" si="29"/>
        <v>700x400</v>
      </c>
      <c r="J133" s="147">
        <v>120</v>
      </c>
      <c r="K133" s="147"/>
      <c r="L133" s="53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P133" s="40"/>
      <c r="AQ133" s="40"/>
    </row>
    <row r="134" spans="1:52">
      <c r="A134" s="139" t="s">
        <v>33</v>
      </c>
      <c r="B134" s="44" t="e">
        <f>MATCH(A134,#REF!,0)</f>
        <v>#REF!</v>
      </c>
      <c r="C134" s="45" t="e">
        <f ca="1">OFFSET(#REF!,B134-1,0)</f>
        <v>#REF!</v>
      </c>
      <c r="D134" s="45" t="e">
        <f ca="1">MID(C134,SEARCH("LV-",C134,1),IFERROR(SEARCH("(",C134,1),LEN(C134)+2)-SEARCH("LV-",C134,1)-1)</f>
        <v>#REF!</v>
      </c>
      <c r="E134" s="506" t="e">
        <f ca="1">OFFSET(#REF!,B134-1,0)</f>
        <v>#REF!</v>
      </c>
      <c r="F134" s="145"/>
      <c r="G134" s="147">
        <v>800</v>
      </c>
      <c r="H134" s="147">
        <v>500</v>
      </c>
      <c r="I134" s="44" t="str">
        <f t="shared" si="29"/>
        <v>800x500</v>
      </c>
      <c r="J134" s="147">
        <v>120</v>
      </c>
      <c r="K134" s="147"/>
      <c r="L134" s="53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P134" s="40"/>
      <c r="AQ134" s="40"/>
    </row>
    <row r="135" spans="1:52">
      <c r="A135" s="139" t="s">
        <v>34</v>
      </c>
      <c r="B135" s="44" t="e">
        <f>MATCH(A135,#REF!,0)</f>
        <v>#REF!</v>
      </c>
      <c r="C135" s="45" t="e">
        <f ca="1">OFFSET(#REF!,B135-1,0)</f>
        <v>#REF!</v>
      </c>
      <c r="D135" s="45" t="e">
        <f ca="1">MID(C135,SEARCH("LV-",C135,1),IFERROR(SEARCH("(",C135,1),LEN(C135)+2)-SEARCH("LV-",C135,1)-1)</f>
        <v>#REF!</v>
      </c>
      <c r="E135" s="506" t="e">
        <f ca="1">OFFSET(#REF!,B135-1,0)</f>
        <v>#REF!</v>
      </c>
      <c r="F135" s="145"/>
      <c r="G135" s="147">
        <v>900</v>
      </c>
      <c r="H135" s="147">
        <v>500</v>
      </c>
      <c r="I135" s="44" t="str">
        <f t="shared" si="29"/>
        <v>900x500</v>
      </c>
      <c r="J135" s="147">
        <v>120</v>
      </c>
      <c r="K135" s="147"/>
      <c r="L135" s="53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P135" s="40"/>
      <c r="AQ135" s="40"/>
    </row>
    <row r="136" spans="1:52">
      <c r="A136" s="157" t="s">
        <v>35</v>
      </c>
      <c r="B136" s="158" t="e">
        <f>MATCH(A136,#REF!,0)</f>
        <v>#REF!</v>
      </c>
      <c r="C136" s="159" t="e">
        <f ca="1">OFFSET(#REF!,B136-1,0)</f>
        <v>#REF!</v>
      </c>
      <c r="D136" s="159" t="e">
        <f ca="1">MID(C136,SEARCH("LV-",C136,1),IFERROR(SEARCH("(",C136,1),LEN(C136)+2)-SEARCH("LV-",C136,1)-1)</f>
        <v>#REF!</v>
      </c>
      <c r="E136" s="507" t="e">
        <f ca="1">OFFSET(#REF!,B136-1,0)</f>
        <v>#REF!</v>
      </c>
      <c r="F136" s="508"/>
      <c r="G136" s="161">
        <v>1000</v>
      </c>
      <c r="H136" s="161">
        <v>500</v>
      </c>
      <c r="I136" s="158" t="str">
        <f t="shared" si="29"/>
        <v>1000x500</v>
      </c>
      <c r="J136" s="147">
        <v>120</v>
      </c>
      <c r="K136" s="161"/>
      <c r="L136" s="53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P136" s="40"/>
      <c r="AQ136" s="40"/>
    </row>
    <row r="137" spans="1:52">
      <c r="A137" s="76"/>
      <c r="B137" s="77"/>
      <c r="C137" s="78"/>
      <c r="D137" s="78"/>
      <c r="E137" s="78"/>
      <c r="F137" s="78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8"/>
      <c r="AJ137" s="78"/>
      <c r="AK137" s="78"/>
      <c r="AL137" s="78"/>
      <c r="AM137" s="78"/>
      <c r="AN137" s="78"/>
      <c r="AO137" s="78"/>
      <c r="AP137" s="53"/>
    </row>
    <row r="138" spans="1:52">
      <c r="A138" s="156" t="s">
        <v>172</v>
      </c>
      <c r="B138" s="79"/>
      <c r="C138" s="152"/>
      <c r="D138" s="152"/>
      <c r="E138" s="153"/>
      <c r="F138" s="153"/>
      <c r="G138" s="154"/>
      <c r="H138" s="154"/>
      <c r="I138" s="154"/>
      <c r="J138" s="155"/>
      <c r="K138" s="154"/>
      <c r="L138" s="154"/>
      <c r="M138" s="154"/>
      <c r="N138" s="155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151"/>
      <c r="AA138" s="151"/>
      <c r="AB138" s="151"/>
      <c r="AC138" s="151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7"/>
      <c r="AS138" s="77"/>
      <c r="AT138" s="77"/>
      <c r="AU138" s="77"/>
      <c r="AV138" s="77"/>
      <c r="AW138" s="77"/>
      <c r="AX138" s="77"/>
      <c r="AY138" s="53"/>
      <c r="AZ138" s="41"/>
    </row>
    <row r="139" spans="1:52">
      <c r="A139" s="42" t="s">
        <v>60</v>
      </c>
      <c r="B139" s="43" t="s">
        <v>85</v>
      </c>
      <c r="C139" s="43" t="s">
        <v>86</v>
      </c>
      <c r="D139" s="43" t="s">
        <v>87</v>
      </c>
      <c r="E139" s="43" t="s">
        <v>22</v>
      </c>
      <c r="F139" s="485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P139" s="40"/>
      <c r="AQ139" s="40"/>
    </row>
    <row r="140" spans="1:52">
      <c r="A140" s="139" t="s">
        <v>17</v>
      </c>
      <c r="B140" s="44" t="e">
        <f>MATCH(A140,#REF!,0)</f>
        <v>#REF!</v>
      </c>
      <c r="C140" s="45" t="e">
        <f ca="1">OFFSET(#REF!,B140-1,0)</f>
        <v>#REF!</v>
      </c>
      <c r="D140" s="45" t="s">
        <v>190</v>
      </c>
      <c r="E140" s="142" t="e">
        <f ca="1">OFFSET(#REF!,B140-1,0)</f>
        <v>#REF!</v>
      </c>
      <c r="F140" s="143"/>
      <c r="G140" s="53"/>
      <c r="H140" s="53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P140" s="40"/>
      <c r="AQ140" s="40"/>
    </row>
    <row r="141" spans="1:52">
      <c r="A141" s="139" t="s">
        <v>0</v>
      </c>
      <c r="B141" s="44" t="e">
        <f>MATCH(A141,#REF!,0)</f>
        <v>#REF!</v>
      </c>
      <c r="C141" s="45" t="e">
        <f ca="1">OFFSET(#REF!,B141-1,0)</f>
        <v>#REF!</v>
      </c>
      <c r="D141" s="45" t="s">
        <v>173</v>
      </c>
      <c r="E141" s="142" t="e">
        <f ca="1">OFFSET(#REF!,B141-1,0)</f>
        <v>#REF!</v>
      </c>
      <c r="F141" s="143"/>
      <c r="G141" s="53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P141" s="40"/>
      <c r="AQ141" s="40"/>
    </row>
    <row r="142" spans="1:52">
      <c r="A142" s="139" t="s">
        <v>18</v>
      </c>
      <c r="B142" s="44" t="e">
        <f>MATCH(A142,#REF!,0)</f>
        <v>#REF!</v>
      </c>
      <c r="C142" s="45" t="e">
        <f ca="1">OFFSET(#REF!,B142-1,0)</f>
        <v>#REF!</v>
      </c>
      <c r="D142" s="45" t="s">
        <v>174</v>
      </c>
      <c r="E142" s="142" t="e">
        <f ca="1">OFFSET(#REF!,B142-1,0)</f>
        <v>#REF!</v>
      </c>
      <c r="F142" s="143"/>
      <c r="G142" s="53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P142" s="40"/>
      <c r="AQ142" s="40"/>
    </row>
    <row r="143" spans="1:52">
      <c r="A143" s="139" t="s">
        <v>1</v>
      </c>
      <c r="B143" s="44" t="e">
        <f>MATCH(A143,#REF!,0)</f>
        <v>#REF!</v>
      </c>
      <c r="C143" s="45" t="e">
        <f ca="1">OFFSET(#REF!,B143-1,0)</f>
        <v>#REF!</v>
      </c>
      <c r="D143" s="45" t="s">
        <v>191</v>
      </c>
      <c r="E143" s="142" t="e">
        <f ca="1">OFFSET(#REF!,B143-1,0)</f>
        <v>#REF!</v>
      </c>
      <c r="F143" s="143"/>
      <c r="G143" s="53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P143" s="40"/>
      <c r="AQ143" s="40"/>
    </row>
    <row r="144" spans="1:52">
      <c r="A144" s="139" t="s">
        <v>2</v>
      </c>
      <c r="B144" s="44" t="e">
        <f>MATCH(A144,#REF!,0)</f>
        <v>#REF!</v>
      </c>
      <c r="C144" s="45" t="e">
        <f ca="1">OFFSET(#REF!,B144-1,0)</f>
        <v>#REF!</v>
      </c>
      <c r="D144" s="45" t="s">
        <v>175</v>
      </c>
      <c r="E144" s="142" t="e">
        <f ca="1">OFFSET(#REF!,B144-1,0)</f>
        <v>#REF!</v>
      </c>
      <c r="F144" s="143"/>
      <c r="G144" s="53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P144" s="40"/>
      <c r="AQ144" s="40"/>
    </row>
    <row r="145" spans="1:43">
      <c r="A145" s="139" t="s">
        <v>3</v>
      </c>
      <c r="B145" s="44" t="e">
        <f>MATCH(A145,#REF!,0)</f>
        <v>#REF!</v>
      </c>
      <c r="C145" s="45" t="e">
        <f ca="1">OFFSET(#REF!,B145-1,0)</f>
        <v>#REF!</v>
      </c>
      <c r="D145" s="45" t="s">
        <v>176</v>
      </c>
      <c r="E145" s="142" t="e">
        <f ca="1">OFFSET(#REF!,B145-1,0)</f>
        <v>#REF!</v>
      </c>
      <c r="F145" s="143"/>
      <c r="G145" s="53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P145" s="40"/>
      <c r="AQ145" s="40"/>
    </row>
    <row r="146" spans="1:43" ht="11.4" customHeight="1">
      <c r="A146" s="139" t="s">
        <v>4</v>
      </c>
      <c r="B146" s="44" t="e">
        <f>MATCH(A146,#REF!,0)</f>
        <v>#REF!</v>
      </c>
      <c r="C146" s="45" t="e">
        <f ca="1">OFFSET(#REF!,B146-1,0)</f>
        <v>#REF!</v>
      </c>
      <c r="D146" s="45" t="s">
        <v>177</v>
      </c>
      <c r="E146" s="142" t="e">
        <f ca="1">OFFSET(#REF!,B146-1,0)</f>
        <v>#REF!</v>
      </c>
      <c r="F146" s="143"/>
      <c r="G146" s="53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P146" s="40"/>
      <c r="AQ146" s="40"/>
    </row>
    <row r="147" spans="1:43" ht="11.4" customHeight="1">
      <c r="A147" s="139" t="s">
        <v>5</v>
      </c>
      <c r="B147" s="44" t="e">
        <f>MATCH(A147,#REF!,0)</f>
        <v>#REF!</v>
      </c>
      <c r="C147" s="45" t="e">
        <f ca="1">OFFSET(#REF!,B147-1,0)</f>
        <v>#REF!</v>
      </c>
      <c r="D147" s="45" t="s">
        <v>178</v>
      </c>
      <c r="E147" s="142" t="e">
        <f ca="1">OFFSET(#REF!,B147-1,0)</f>
        <v>#REF!</v>
      </c>
      <c r="F147" s="143"/>
      <c r="G147" s="53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P147" s="40"/>
      <c r="AQ147" s="40"/>
    </row>
    <row r="148" spans="1:43" ht="11.4" customHeight="1">
      <c r="A148" s="139" t="s">
        <v>6</v>
      </c>
      <c r="B148" s="44" t="e">
        <f>MATCH(A148,#REF!,0)</f>
        <v>#REF!</v>
      </c>
      <c r="C148" s="45" t="e">
        <f ca="1">OFFSET(#REF!,B148-1,0)</f>
        <v>#REF!</v>
      </c>
      <c r="D148" s="45" t="s">
        <v>179</v>
      </c>
      <c r="E148" s="142" t="e">
        <f ca="1">OFFSET(#REF!,B148-1,0)</f>
        <v>#REF!</v>
      </c>
      <c r="F148" s="143"/>
      <c r="G148" s="53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P148" s="40"/>
      <c r="AQ148" s="40"/>
    </row>
    <row r="149" spans="1:43">
      <c r="A149" s="139" t="s">
        <v>7</v>
      </c>
      <c r="B149" s="44" t="e">
        <f>MATCH(A149,#REF!,0)</f>
        <v>#REF!</v>
      </c>
      <c r="C149" s="45" t="e">
        <f ca="1">OFFSET(#REF!,B149-1,0)</f>
        <v>#REF!</v>
      </c>
      <c r="D149" s="45" t="s">
        <v>180</v>
      </c>
      <c r="E149" s="142" t="e">
        <f ca="1">OFFSET(#REF!,B149-1,0)</f>
        <v>#REF!</v>
      </c>
      <c r="F149" s="143"/>
      <c r="G149" s="53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P149" s="40"/>
      <c r="AQ149" s="40"/>
    </row>
    <row r="150" spans="1:43">
      <c r="A150" s="139" t="s">
        <v>8</v>
      </c>
      <c r="B150" s="44" t="e">
        <f>MATCH(A150,#REF!,0)</f>
        <v>#REF!</v>
      </c>
      <c r="C150" s="45" t="e">
        <f ca="1">OFFSET(#REF!,B150-1,0)</f>
        <v>#REF!</v>
      </c>
      <c r="D150" s="45" t="s">
        <v>181</v>
      </c>
      <c r="E150" s="142" t="e">
        <f ca="1">OFFSET(#REF!,B150-1,0)</f>
        <v>#REF!</v>
      </c>
      <c r="F150" s="143"/>
      <c r="G150" s="53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P150" s="40"/>
      <c r="AQ150" s="40"/>
    </row>
    <row r="151" spans="1:43">
      <c r="A151" s="139" t="s">
        <v>9</v>
      </c>
      <c r="B151" s="44" t="e">
        <f>MATCH(A151,#REF!,0)</f>
        <v>#REF!</v>
      </c>
      <c r="C151" s="45" t="e">
        <f ca="1">OFFSET(#REF!,B151-1,0)</f>
        <v>#REF!</v>
      </c>
      <c r="D151" s="45" t="s">
        <v>182</v>
      </c>
      <c r="E151" s="142" t="e">
        <f ca="1">OFFSET(#REF!,B151-1,0)</f>
        <v>#REF!</v>
      </c>
      <c r="F151" s="143"/>
      <c r="G151" s="53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P151" s="40"/>
      <c r="AQ151" s="40"/>
    </row>
    <row r="152" spans="1:43">
      <c r="A152" s="139" t="s">
        <v>10</v>
      </c>
      <c r="B152" s="44" t="e">
        <f>MATCH(A152,#REF!,0)</f>
        <v>#REF!</v>
      </c>
      <c r="C152" s="45" t="e">
        <f ca="1">OFFSET(#REF!,B152-1,0)</f>
        <v>#REF!</v>
      </c>
      <c r="D152" s="45" t="s">
        <v>183</v>
      </c>
      <c r="E152" s="142" t="e">
        <f ca="1">OFFSET(#REF!,B152-1,0)</f>
        <v>#REF!</v>
      </c>
      <c r="F152" s="143"/>
      <c r="G152" s="53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P152" s="40"/>
      <c r="AQ152" s="40"/>
    </row>
    <row r="153" spans="1:43">
      <c r="A153" s="139" t="s">
        <v>11</v>
      </c>
      <c r="B153" s="44" t="e">
        <f>MATCH(A153,#REF!,0)</f>
        <v>#REF!</v>
      </c>
      <c r="C153" s="45" t="e">
        <f ca="1">OFFSET(#REF!,B153-1,0)</f>
        <v>#REF!</v>
      </c>
      <c r="D153" s="45" t="s">
        <v>184</v>
      </c>
      <c r="E153" s="142" t="e">
        <f ca="1">OFFSET(#REF!,B153-1,0)</f>
        <v>#REF!</v>
      </c>
      <c r="F153" s="143"/>
      <c r="G153" s="53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P153" s="40"/>
      <c r="AQ153" s="40"/>
    </row>
    <row r="154" spans="1:43">
      <c r="A154" s="139" t="s">
        <v>12</v>
      </c>
      <c r="B154" s="44" t="e">
        <f>MATCH(A154,#REF!,0)</f>
        <v>#REF!</v>
      </c>
      <c r="C154" s="45" t="e">
        <f ca="1">OFFSET(#REF!,B154-1,0)</f>
        <v>#REF!</v>
      </c>
      <c r="D154" s="45" t="s">
        <v>185</v>
      </c>
      <c r="E154" s="142" t="e">
        <f ca="1">OFFSET(#REF!,B154-1,0)</f>
        <v>#REF!</v>
      </c>
      <c r="F154" s="143"/>
      <c r="G154" s="53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P154" s="40"/>
      <c r="AQ154" s="40"/>
    </row>
    <row r="155" spans="1:43">
      <c r="A155" s="139" t="s">
        <v>13</v>
      </c>
      <c r="B155" s="44" t="e">
        <f>MATCH(A155,#REF!,0)</f>
        <v>#REF!</v>
      </c>
      <c r="C155" s="45" t="e">
        <f ca="1">OFFSET(#REF!,B155-1,0)</f>
        <v>#REF!</v>
      </c>
      <c r="D155" s="45" t="s">
        <v>186</v>
      </c>
      <c r="E155" s="142" t="e">
        <f ca="1">OFFSET(#REF!,B155-1,0)</f>
        <v>#REF!</v>
      </c>
      <c r="F155" s="143"/>
      <c r="G155" s="53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P155" s="40"/>
      <c r="AQ155" s="40"/>
    </row>
    <row r="156" spans="1:43">
      <c r="A156" s="139" t="s">
        <v>14</v>
      </c>
      <c r="B156" s="44" t="e">
        <f>MATCH(A156,#REF!,0)</f>
        <v>#REF!</v>
      </c>
      <c r="C156" s="45" t="e">
        <f ca="1">OFFSET(#REF!,B156-1,0)</f>
        <v>#REF!</v>
      </c>
      <c r="D156" s="45" t="s">
        <v>187</v>
      </c>
      <c r="E156" s="142" t="e">
        <f ca="1">OFFSET(#REF!,B156-1,0)</f>
        <v>#REF!</v>
      </c>
      <c r="F156" s="143"/>
      <c r="G156" s="53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P156" s="40"/>
      <c r="AQ156" s="40"/>
    </row>
    <row r="157" spans="1:43" ht="11.4" customHeight="1">
      <c r="A157" s="139" t="s">
        <v>15</v>
      </c>
      <c r="B157" s="44" t="e">
        <f>MATCH(A157,#REF!,0)</f>
        <v>#REF!</v>
      </c>
      <c r="C157" s="45" t="e">
        <f ca="1">OFFSET(#REF!,B157-1,0)</f>
        <v>#REF!</v>
      </c>
      <c r="D157" s="45" t="s">
        <v>188</v>
      </c>
      <c r="E157" s="142" t="e">
        <f ca="1">OFFSET(#REF!,B157-1,0)</f>
        <v>#REF!</v>
      </c>
      <c r="F157" s="143"/>
      <c r="G157" s="53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P157" s="40"/>
      <c r="AQ157" s="40"/>
    </row>
    <row r="158" spans="1:43" ht="11.4" customHeight="1">
      <c r="A158" s="139" t="s">
        <v>16</v>
      </c>
      <c r="B158" s="44" t="e">
        <f>MATCH(A158,#REF!,0)</f>
        <v>#REF!</v>
      </c>
      <c r="C158" s="45" t="e">
        <f ca="1">OFFSET(#REF!,B158-1,0)</f>
        <v>#REF!</v>
      </c>
      <c r="D158" s="45" t="s">
        <v>189</v>
      </c>
      <c r="E158" s="142" t="e">
        <f ca="1">OFFSET(#REF!,B158-1,0)</f>
        <v>#REF!</v>
      </c>
      <c r="F158" s="143"/>
      <c r="G158" s="53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P158" s="40"/>
      <c r="AQ158" s="40"/>
    </row>
    <row r="159" spans="1:43" ht="11.4" customHeight="1">
      <c r="A159" s="139" t="s">
        <v>221</v>
      </c>
      <c r="B159" s="44" t="e">
        <f>MATCH(A159,#REF!,0)</f>
        <v>#REF!</v>
      </c>
      <c r="C159" s="45" t="e">
        <f ca="1">OFFSET(#REF!,B159-1,0)</f>
        <v>#REF!</v>
      </c>
      <c r="D159" s="45" t="s">
        <v>196</v>
      </c>
      <c r="E159" s="142" t="e">
        <f ca="1">OFFSET(#REF!,B159-1,0)</f>
        <v>#REF!</v>
      </c>
      <c r="F159" s="143"/>
      <c r="G159" s="53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P159" s="40"/>
      <c r="AQ159" s="40"/>
    </row>
    <row r="160" spans="1:43">
      <c r="A160" s="139" t="s">
        <v>222</v>
      </c>
      <c r="B160" s="44" t="e">
        <f>MATCH(A160,#REF!,0)</f>
        <v>#REF!</v>
      </c>
      <c r="C160" s="45" t="e">
        <f ca="1">OFFSET(#REF!,B160-1,0)</f>
        <v>#REF!</v>
      </c>
      <c r="D160" s="45" t="s">
        <v>197</v>
      </c>
      <c r="E160" s="142" t="e">
        <f ca="1">OFFSET(#REF!,B160-1,0)</f>
        <v>#REF!</v>
      </c>
      <c r="F160" s="143"/>
      <c r="G160" s="53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P160" s="40"/>
      <c r="AQ160" s="40"/>
    </row>
    <row r="161" spans="1:43">
      <c r="A161" s="139" t="s">
        <v>223</v>
      </c>
      <c r="B161" s="44" t="e">
        <f>MATCH(A161,#REF!,0)</f>
        <v>#REF!</v>
      </c>
      <c r="C161" s="45" t="e">
        <f ca="1">OFFSET(#REF!,B161-1,0)</f>
        <v>#REF!</v>
      </c>
      <c r="D161" s="45" t="s">
        <v>198</v>
      </c>
      <c r="E161" s="142" t="e">
        <f ca="1">OFFSET(#REF!,B161-1,0)</f>
        <v>#REF!</v>
      </c>
      <c r="F161" s="143"/>
      <c r="G161" s="53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P161" s="40"/>
      <c r="AQ161" s="40"/>
    </row>
    <row r="162" spans="1:43">
      <c r="A162" s="139" t="s">
        <v>224</v>
      </c>
      <c r="B162" s="44" t="e">
        <f>MATCH(A162,#REF!,0)</f>
        <v>#REF!</v>
      </c>
      <c r="C162" s="45" t="e">
        <f ca="1">OFFSET(#REF!,B162-1,0)</f>
        <v>#REF!</v>
      </c>
      <c r="D162" s="45" t="s">
        <v>199</v>
      </c>
      <c r="E162" s="142" t="e">
        <f ca="1">OFFSET(#REF!,B162-1,0)</f>
        <v>#REF!</v>
      </c>
      <c r="F162" s="143"/>
      <c r="G162" s="53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P162" s="40"/>
      <c r="AQ162" s="40"/>
    </row>
    <row r="163" spans="1:43">
      <c r="A163" s="139" t="s">
        <v>225</v>
      </c>
      <c r="B163" s="44" t="e">
        <f>MATCH(A163,#REF!,0)</f>
        <v>#REF!</v>
      </c>
      <c r="C163" s="45" t="e">
        <f ca="1">OFFSET(#REF!,B163-1,0)</f>
        <v>#REF!</v>
      </c>
      <c r="D163" s="45" t="s">
        <v>200</v>
      </c>
      <c r="E163" s="142" t="e">
        <f ca="1">OFFSET(#REF!,B163-1,0)</f>
        <v>#REF!</v>
      </c>
      <c r="F163" s="143"/>
      <c r="G163" s="53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P163" s="40"/>
      <c r="AQ163" s="40"/>
    </row>
    <row r="164" spans="1:43">
      <c r="A164" s="139" t="s">
        <v>226</v>
      </c>
      <c r="B164" s="44" t="e">
        <f>MATCH(A164,#REF!,0)</f>
        <v>#REF!</v>
      </c>
      <c r="C164" s="45" t="e">
        <f ca="1">OFFSET(#REF!,B164-1,0)</f>
        <v>#REF!</v>
      </c>
      <c r="D164" s="45" t="s">
        <v>201</v>
      </c>
      <c r="E164" s="142" t="e">
        <f ca="1">OFFSET(#REF!,B164-1,0)</f>
        <v>#REF!</v>
      </c>
      <c r="F164" s="143"/>
      <c r="G164" s="53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P164" s="40"/>
      <c r="AQ164" s="40"/>
    </row>
    <row r="165" spans="1:43" ht="11.4" customHeight="1">
      <c r="A165" s="139" t="s">
        <v>227</v>
      </c>
      <c r="B165" s="44" t="e">
        <f>MATCH(A165,#REF!,0)</f>
        <v>#REF!</v>
      </c>
      <c r="C165" s="45" t="e">
        <f ca="1">OFFSET(#REF!,B165-1,0)</f>
        <v>#REF!</v>
      </c>
      <c r="D165" s="45" t="s">
        <v>202</v>
      </c>
      <c r="E165" s="142" t="e">
        <f ca="1">OFFSET(#REF!,B165-1,0)</f>
        <v>#REF!</v>
      </c>
      <c r="F165" s="143"/>
      <c r="G165" s="53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P165" s="40"/>
      <c r="AQ165" s="40"/>
    </row>
    <row r="166" spans="1:43">
      <c r="A166" s="139" t="s">
        <v>228</v>
      </c>
      <c r="B166" s="44" t="e">
        <f>MATCH(A166,#REF!,0)</f>
        <v>#REF!</v>
      </c>
      <c r="C166" s="45" t="e">
        <f ca="1">OFFSET(#REF!,B166-1,0)</f>
        <v>#REF!</v>
      </c>
      <c r="D166" s="45" t="s">
        <v>203</v>
      </c>
      <c r="E166" s="142" t="e">
        <f ca="1">OFFSET(#REF!,B166-1,0)</f>
        <v>#REF!</v>
      </c>
      <c r="F166" s="143"/>
      <c r="G166" s="53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P166" s="40"/>
      <c r="AQ166" s="40"/>
    </row>
    <row r="167" spans="1:43">
      <c r="A167" s="139" t="s">
        <v>229</v>
      </c>
      <c r="B167" s="44" t="e">
        <f>MATCH(A167,#REF!,0)</f>
        <v>#REF!</v>
      </c>
      <c r="C167" s="45" t="e">
        <f ca="1">OFFSET(#REF!,B167-1,0)</f>
        <v>#REF!</v>
      </c>
      <c r="D167" s="45" t="s">
        <v>204</v>
      </c>
      <c r="E167" s="142" t="e">
        <f ca="1">OFFSET(#REF!,B167-1,0)</f>
        <v>#REF!</v>
      </c>
      <c r="F167" s="143"/>
      <c r="G167" s="53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P167" s="40"/>
      <c r="AQ167" s="40"/>
    </row>
    <row r="168" spans="1:43">
      <c r="A168" s="139" t="s">
        <v>230</v>
      </c>
      <c r="B168" s="44" t="e">
        <f>MATCH(A168,#REF!,0)</f>
        <v>#REF!</v>
      </c>
      <c r="C168" s="45" t="e">
        <f ca="1">OFFSET(#REF!,B168-1,0)</f>
        <v>#REF!</v>
      </c>
      <c r="D168" s="45" t="s">
        <v>205</v>
      </c>
      <c r="E168" s="142" t="e">
        <f ca="1">OFFSET(#REF!,B168-1,0)</f>
        <v>#REF!</v>
      </c>
      <c r="F168" s="143"/>
      <c r="G168" s="53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P168" s="40"/>
      <c r="AQ168" s="40"/>
    </row>
    <row r="169" spans="1:43">
      <c r="A169" s="139" t="s">
        <v>231</v>
      </c>
      <c r="B169" s="44" t="e">
        <f>MATCH(A169,#REF!,0)</f>
        <v>#REF!</v>
      </c>
      <c r="C169" s="45" t="e">
        <f ca="1">OFFSET(#REF!,B169-1,0)</f>
        <v>#REF!</v>
      </c>
      <c r="D169" s="45" t="s">
        <v>206</v>
      </c>
      <c r="E169" s="142" t="e">
        <f ca="1">OFFSET(#REF!,B169-1,0)</f>
        <v>#REF!</v>
      </c>
      <c r="F169" s="143"/>
      <c r="G169" s="53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P169" s="40"/>
      <c r="AQ169" s="40"/>
    </row>
    <row r="170" spans="1:43">
      <c r="A170" s="139" t="s">
        <v>232</v>
      </c>
      <c r="B170" s="44" t="e">
        <f>MATCH(A170,#REF!,0)</f>
        <v>#REF!</v>
      </c>
      <c r="C170" s="45" t="e">
        <f ca="1">OFFSET(#REF!,B170-1,0)</f>
        <v>#REF!</v>
      </c>
      <c r="D170" s="45" t="s">
        <v>207</v>
      </c>
      <c r="E170" s="142" t="e">
        <f ca="1">OFFSET(#REF!,B170-1,0)</f>
        <v>#REF!</v>
      </c>
      <c r="F170" s="143"/>
      <c r="G170" s="53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P170" s="40"/>
      <c r="AQ170" s="40"/>
    </row>
    <row r="171" spans="1:43" ht="11.4" customHeight="1">
      <c r="A171" s="139" t="s">
        <v>233</v>
      </c>
      <c r="B171" s="44" t="e">
        <f>MATCH(A171,#REF!,0)</f>
        <v>#REF!</v>
      </c>
      <c r="C171" s="45" t="e">
        <f ca="1">OFFSET(#REF!,B171-1,0)</f>
        <v>#REF!</v>
      </c>
      <c r="D171" s="45" t="s">
        <v>208</v>
      </c>
      <c r="E171" s="142" t="e">
        <f ca="1">OFFSET(#REF!,B171-1,0)</f>
        <v>#REF!</v>
      </c>
      <c r="F171" s="143"/>
      <c r="G171" s="53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P171" s="40"/>
      <c r="AQ171" s="40"/>
    </row>
    <row r="172" spans="1:43">
      <c r="A172" s="139" t="s">
        <v>234</v>
      </c>
      <c r="B172" s="44" t="e">
        <f>MATCH(A172,#REF!,0)</f>
        <v>#REF!</v>
      </c>
      <c r="C172" s="45" t="e">
        <f ca="1">OFFSET(#REF!,B172-1,0)</f>
        <v>#REF!</v>
      </c>
      <c r="D172" s="45" t="s">
        <v>209</v>
      </c>
      <c r="E172" s="142" t="e">
        <f ca="1">OFFSET(#REF!,B172-1,0)</f>
        <v>#REF!</v>
      </c>
      <c r="F172" s="143"/>
      <c r="G172" s="53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P172" s="40"/>
      <c r="AQ172" s="40"/>
    </row>
    <row r="173" spans="1:43">
      <c r="A173" s="139" t="s">
        <v>235</v>
      </c>
      <c r="B173" s="44" t="e">
        <f>MATCH(A173,#REF!,0)</f>
        <v>#REF!</v>
      </c>
      <c r="C173" s="45" t="e">
        <f ca="1">OFFSET(#REF!,B173-1,0)</f>
        <v>#REF!</v>
      </c>
      <c r="D173" s="45" t="s">
        <v>210</v>
      </c>
      <c r="E173" s="142" t="e">
        <f ca="1">OFFSET(#REF!,B173-1,0)</f>
        <v>#REF!</v>
      </c>
      <c r="F173" s="143"/>
      <c r="G173" s="53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P173" s="40"/>
      <c r="AQ173" s="40"/>
    </row>
    <row r="174" spans="1:43">
      <c r="A174" s="139" t="s">
        <v>236</v>
      </c>
      <c r="B174" s="44" t="e">
        <f>MATCH(A174,#REF!,0)</f>
        <v>#REF!</v>
      </c>
      <c r="C174" s="45" t="e">
        <f ca="1">OFFSET(#REF!,B174-1,0)</f>
        <v>#REF!</v>
      </c>
      <c r="D174" s="45" t="s">
        <v>211</v>
      </c>
      <c r="E174" s="142" t="e">
        <f ca="1">OFFSET(#REF!,B174-1,0)</f>
        <v>#REF!</v>
      </c>
      <c r="F174" s="143"/>
      <c r="G174" s="53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P174" s="40"/>
      <c r="AQ174" s="40"/>
    </row>
    <row r="175" spans="1:43">
      <c r="A175" s="139" t="s">
        <v>237</v>
      </c>
      <c r="B175" s="44" t="e">
        <f>MATCH(A175,#REF!,0)</f>
        <v>#REF!</v>
      </c>
      <c r="C175" s="45" t="e">
        <f ca="1">OFFSET(#REF!,B175-1,0)</f>
        <v>#REF!</v>
      </c>
      <c r="D175" s="45" t="s">
        <v>212</v>
      </c>
      <c r="E175" s="142" t="e">
        <f ca="1">OFFSET(#REF!,B175-1,0)</f>
        <v>#REF!</v>
      </c>
      <c r="F175" s="143"/>
      <c r="G175" s="53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P175" s="40"/>
      <c r="AQ175" s="40"/>
    </row>
    <row r="176" spans="1:43">
      <c r="A176" s="139" t="s">
        <v>238</v>
      </c>
      <c r="B176" s="44" t="e">
        <f>MATCH(A176,#REF!,0)</f>
        <v>#REF!</v>
      </c>
      <c r="C176" s="45" t="e">
        <f ca="1">OFFSET(#REF!,B176-1,0)</f>
        <v>#REF!</v>
      </c>
      <c r="D176" s="45" t="s">
        <v>213</v>
      </c>
      <c r="E176" s="142" t="e">
        <f ca="1">OFFSET(#REF!,B176-1,0)</f>
        <v>#REF!</v>
      </c>
      <c r="F176" s="143"/>
      <c r="G176" s="53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P176" s="40"/>
      <c r="AQ176" s="40"/>
    </row>
    <row r="177" spans="1:48" ht="11.4" customHeight="1">
      <c r="A177" s="157" t="s">
        <v>239</v>
      </c>
      <c r="B177" s="158" t="e">
        <f>MATCH(A177,#REF!,0)</f>
        <v>#REF!</v>
      </c>
      <c r="C177" s="159" t="e">
        <f ca="1">OFFSET(#REF!,B177-1,0)</f>
        <v>#REF!</v>
      </c>
      <c r="D177" s="159" t="s">
        <v>214</v>
      </c>
      <c r="E177" s="160" t="e">
        <f ca="1">OFFSET(#REF!,B177-1,0)</f>
        <v>#REF!</v>
      </c>
      <c r="F177" s="143"/>
      <c r="G177" s="53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P177" s="40"/>
      <c r="AQ177" s="40"/>
    </row>
    <row r="178" spans="1:48">
      <c r="A178" s="76"/>
      <c r="B178" s="77"/>
      <c r="C178" s="78"/>
      <c r="D178" s="78"/>
      <c r="E178" s="78"/>
      <c r="F178" s="78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8"/>
      <c r="AJ178" s="78"/>
      <c r="AK178" s="78"/>
      <c r="AL178" s="78"/>
      <c r="AM178" s="78"/>
      <c r="AN178" s="78"/>
      <c r="AO178" s="78"/>
      <c r="AP178" s="53"/>
    </row>
    <row r="179" spans="1:48">
      <c r="A179" s="39" t="s">
        <v>124</v>
      </c>
    </row>
    <row r="180" spans="1:48">
      <c r="A180" s="42" t="s">
        <v>60</v>
      </c>
      <c r="B180" s="43" t="s">
        <v>85</v>
      </c>
      <c r="C180" s="43" t="s">
        <v>86</v>
      </c>
      <c r="D180" s="43" t="s">
        <v>87</v>
      </c>
      <c r="E180" s="43" t="s">
        <v>22</v>
      </c>
      <c r="F180" s="43" t="s">
        <v>595</v>
      </c>
      <c r="G180" s="43" t="s">
        <v>488</v>
      </c>
      <c r="H180" s="43" t="s">
        <v>489</v>
      </c>
      <c r="I180" s="43" t="s">
        <v>310</v>
      </c>
      <c r="J180" s="43" t="s">
        <v>92</v>
      </c>
      <c r="K180" s="43" t="s">
        <v>93</v>
      </c>
      <c r="L180" s="43" t="s">
        <v>94</v>
      </c>
      <c r="M180" s="43" t="s">
        <v>126</v>
      </c>
      <c r="N180" s="43" t="s">
        <v>95</v>
      </c>
      <c r="O180" s="43" t="s">
        <v>96</v>
      </c>
      <c r="P180" s="43" t="s">
        <v>127</v>
      </c>
      <c r="Q180" s="43" t="s">
        <v>152</v>
      </c>
      <c r="R180" s="43" t="s">
        <v>153</v>
      </c>
      <c r="S180" s="270"/>
      <c r="T180" s="270"/>
      <c r="U180" s="270"/>
      <c r="V180" s="270"/>
      <c r="W180" s="43" t="s">
        <v>102</v>
      </c>
      <c r="X180" s="43" t="s">
        <v>103</v>
      </c>
      <c r="Y180" s="43" t="s">
        <v>109</v>
      </c>
      <c r="Z180" s="43" t="s">
        <v>110</v>
      </c>
      <c r="AA180" s="43" t="s">
        <v>216</v>
      </c>
      <c r="AB180" s="43" t="s">
        <v>217</v>
      </c>
      <c r="AC180" s="43" t="s">
        <v>218</v>
      </c>
      <c r="AD180" s="43" t="s">
        <v>485</v>
      </c>
      <c r="AE180" s="43" t="s">
        <v>486</v>
      </c>
      <c r="AF180" s="43" t="s">
        <v>215</v>
      </c>
      <c r="AI180" s="41"/>
      <c r="AJ180" s="41"/>
      <c r="AM180" s="41"/>
      <c r="AN180" s="41"/>
      <c r="AO180" s="41"/>
      <c r="AP180" s="40"/>
      <c r="AQ180" s="40"/>
      <c r="AU180" s="41"/>
      <c r="AV180" s="41"/>
    </row>
    <row r="181" spans="1:48">
      <c r="A181" s="537" t="s">
        <v>847</v>
      </c>
      <c r="B181" s="81">
        <f>MATCH(A181,Заслонки!B$6:B$1986,0)</f>
        <v>14</v>
      </c>
      <c r="C181" s="82" t="str">
        <f ca="1">OFFSET(Заслонки!B$6,B181-1,0)</f>
        <v>Заслонка воздушная LV-BDCM 100H E16</v>
      </c>
      <c r="D181" s="82" t="str">
        <f t="shared" ref="D181:D210" ca="1" si="30">RIGHT(C181,LEN(C181)+1-SEARCH("LV-",C181,1))</f>
        <v>LV-BDCM 100H E16</v>
      </c>
      <c r="E181" s="486">
        <f ca="1">OFFSET(Заслонки!C$6,B181-1,0)</f>
        <v>1589</v>
      </c>
      <c r="F181" s="145" t="s">
        <v>591</v>
      </c>
      <c r="G181" s="83" t="e">
        <f t="shared" ref="G181:G210" si="31">Задача_Расход/$M181/3600</f>
        <v>#REF!</v>
      </c>
      <c r="H181" s="84" t="e">
        <f t="shared" ref="H181:H210" si="32">$AA181*Задача_Расход^5+$AB181*Задача_Расход^4+$AC181*Задача_Расход^3+$AD181*Задача_Расход^2+$AE181*Задача_Расход+$AF181</f>
        <v>#REF!</v>
      </c>
      <c r="I181" s="518" t="e">
        <f t="shared" ref="I181:I210" si="33">CONCATENATE($L181,"=",AND($P181=Задача_ЗаслонкаТип,G181&lt;=СкоростьMAX_Заслонка,G181&gt;=СкоростьMIN_Заслонка))</f>
        <v>#REF!</v>
      </c>
      <c r="J181" s="85">
        <v>100</v>
      </c>
      <c r="K181" s="86"/>
      <c r="L181" s="81" t="str">
        <f t="shared" ref="L181:L210" si="34">IF(K181&gt;0,IF(J181&gt;0,CONCATENATE(J181,"x",K181),K181),CONCATENATE("Ø",J181))</f>
        <v>Ø100</v>
      </c>
      <c r="M181" s="87">
        <f t="shared" ref="M181:M210" si="35">IF(K181&gt;1,J181*K181,PI()*J181^2/4)/1000000</f>
        <v>7.8539816339744835E-3</v>
      </c>
      <c r="N181" s="88">
        <v>200</v>
      </c>
      <c r="O181" s="89">
        <v>0.4</v>
      </c>
      <c r="P181" s="86" t="s">
        <v>48</v>
      </c>
      <c r="Q181" s="86"/>
      <c r="R181" s="86"/>
      <c r="S181" s="86"/>
      <c r="T181" s="86"/>
      <c r="U181" s="86"/>
      <c r="V181" s="86"/>
      <c r="W181" s="86">
        <v>85</v>
      </c>
      <c r="X181" s="86">
        <v>141</v>
      </c>
      <c r="Y181" s="86">
        <v>6</v>
      </c>
      <c r="Z181" s="86">
        <v>11</v>
      </c>
      <c r="AA181" s="86"/>
      <c r="AB181" s="86"/>
      <c r="AC181" s="86"/>
      <c r="AD181" s="81">
        <f>(Y181/W181-Z181/X181)/(W181-X181)</f>
        <v>1.3260623398295493E-4</v>
      </c>
      <c r="AE181" s="81">
        <f>Y181/W181-AD181*W181</f>
        <v>5.9316705405566481E-2</v>
      </c>
      <c r="AF181" s="52"/>
      <c r="AI181" s="41"/>
      <c r="AJ181" s="41"/>
      <c r="AM181" s="41"/>
      <c r="AN181" s="41"/>
      <c r="AO181" s="41"/>
      <c r="AP181" s="40"/>
      <c r="AQ181" s="40"/>
      <c r="AU181" s="41"/>
      <c r="AV181" s="41"/>
    </row>
    <row r="182" spans="1:48">
      <c r="A182" s="539" t="s">
        <v>871</v>
      </c>
      <c r="B182" s="91" t="e">
        <f>MATCH(A182,Заслонки!B$6:B$1986,0)</f>
        <v>#N/A</v>
      </c>
      <c r="C182" s="92" t="e">
        <f ca="1">OFFSET(Заслонки!B$6,B182-1,0)</f>
        <v>#N/A</v>
      </c>
      <c r="D182" s="92" t="e">
        <f t="shared" ca="1" si="30"/>
        <v>#N/A</v>
      </c>
      <c r="E182" s="487" t="e">
        <f ca="1">OFFSET(Заслонки!C$6,B182-1,0)</f>
        <v>#N/A</v>
      </c>
      <c r="F182" s="146" t="s">
        <v>591</v>
      </c>
      <c r="G182" s="93" t="e">
        <f t="shared" si="31"/>
        <v>#REF!</v>
      </c>
      <c r="H182" s="94" t="e">
        <f t="shared" si="32"/>
        <v>#REF!</v>
      </c>
      <c r="I182" s="519" t="e">
        <f t="shared" si="33"/>
        <v>#REF!</v>
      </c>
      <c r="J182" s="95">
        <v>100</v>
      </c>
      <c r="K182" s="96"/>
      <c r="L182" s="91" t="str">
        <f t="shared" si="34"/>
        <v>Ø100</v>
      </c>
      <c r="M182" s="97">
        <f t="shared" si="35"/>
        <v>7.8539816339744835E-3</v>
      </c>
      <c r="N182" s="98">
        <v>80</v>
      </c>
      <c r="O182" s="99">
        <v>0.2</v>
      </c>
      <c r="P182" s="96" t="s">
        <v>49</v>
      </c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>
        <v>1.6166072112192325E-10</v>
      </c>
      <c r="AB182" s="96">
        <v>-2.0543283267556186E-7</v>
      </c>
      <c r="AC182" s="96">
        <v>9.2642385186881426E-5</v>
      </c>
      <c r="AD182" s="91">
        <v>-1.8716399769072946E-2</v>
      </c>
      <c r="AE182" s="91">
        <v>1.6815896083401656</v>
      </c>
      <c r="AF182" s="68">
        <v>-0.50338850853632522</v>
      </c>
      <c r="AI182" s="41"/>
      <c r="AJ182" s="41"/>
      <c r="AM182" s="41"/>
      <c r="AN182" s="41"/>
      <c r="AO182" s="41"/>
      <c r="AP182" s="40"/>
      <c r="AQ182" s="40"/>
      <c r="AU182" s="41"/>
      <c r="AV182" s="41"/>
    </row>
    <row r="183" spans="1:48">
      <c r="A183" s="537" t="s">
        <v>848</v>
      </c>
      <c r="B183" s="81">
        <f>MATCH(A183,Заслонки!B$6:B$1986,0)</f>
        <v>15</v>
      </c>
      <c r="C183" s="82" t="str">
        <f ca="1">OFFSET(Заслонки!B$6,B183-1,0)</f>
        <v>Заслонка воздушная LV-BDCM 125H E16</v>
      </c>
      <c r="D183" s="82" t="str">
        <f t="shared" ca="1" si="30"/>
        <v>LV-BDCM 125H E16</v>
      </c>
      <c r="E183" s="488">
        <f ca="1">OFFSET(Заслонки!C$6,B183-1,0)</f>
        <v>1692</v>
      </c>
      <c r="F183" s="145" t="s">
        <v>591</v>
      </c>
      <c r="G183" s="83" t="e">
        <f t="shared" si="31"/>
        <v>#REF!</v>
      </c>
      <c r="H183" s="84" t="e">
        <f t="shared" si="32"/>
        <v>#REF!</v>
      </c>
      <c r="I183" s="518" t="e">
        <f t="shared" si="33"/>
        <v>#REF!</v>
      </c>
      <c r="J183" s="85">
        <v>125</v>
      </c>
      <c r="K183" s="86"/>
      <c r="L183" s="81" t="str">
        <f t="shared" si="34"/>
        <v>Ø125</v>
      </c>
      <c r="M183" s="87">
        <f t="shared" si="35"/>
        <v>1.2271846303085129E-2</v>
      </c>
      <c r="N183" s="88">
        <v>200</v>
      </c>
      <c r="O183" s="89">
        <v>0.5</v>
      </c>
      <c r="P183" s="86" t="s">
        <v>48</v>
      </c>
      <c r="Q183" s="86"/>
      <c r="R183" s="86"/>
      <c r="S183" s="86"/>
      <c r="T183" s="86"/>
      <c r="U183" s="86"/>
      <c r="V183" s="86"/>
      <c r="W183" s="86">
        <v>133</v>
      </c>
      <c r="X183" s="86">
        <v>221</v>
      </c>
      <c r="Y183" s="86">
        <v>6</v>
      </c>
      <c r="Z183" s="86">
        <v>11</v>
      </c>
      <c r="AA183" s="86"/>
      <c r="AB183" s="86"/>
      <c r="AC183" s="86"/>
      <c r="AD183" s="81">
        <f>(Y183/W183-Z183/X183)/(W183-X183)</f>
        <v>5.2965610241152029E-5</v>
      </c>
      <c r="AE183" s="81">
        <f>Y183/W183-AD183*W183</f>
        <v>3.8068355792813993E-2</v>
      </c>
      <c r="AF183" s="52"/>
      <c r="AI183" s="41"/>
      <c r="AJ183" s="41"/>
      <c r="AM183" s="41"/>
      <c r="AN183" s="41"/>
      <c r="AO183" s="41"/>
      <c r="AP183" s="40"/>
      <c r="AQ183" s="40"/>
      <c r="AU183" s="41"/>
      <c r="AV183" s="41"/>
    </row>
    <row r="184" spans="1:48">
      <c r="A184" s="539" t="s">
        <v>872</v>
      </c>
      <c r="B184" s="91" t="e">
        <f>MATCH(A184,Заслонки!B$6:B$1986,0)</f>
        <v>#N/A</v>
      </c>
      <c r="C184" s="92" t="e">
        <f ca="1">OFFSET(Заслонки!B$6,B184-1,0)</f>
        <v>#N/A</v>
      </c>
      <c r="D184" s="92" t="e">
        <f t="shared" ca="1" si="30"/>
        <v>#N/A</v>
      </c>
      <c r="E184" s="487" t="e">
        <f ca="1">OFFSET(Заслонки!C$6,B184-1,0)</f>
        <v>#N/A</v>
      </c>
      <c r="F184" s="146" t="s">
        <v>591</v>
      </c>
      <c r="G184" s="93" t="e">
        <f t="shared" si="31"/>
        <v>#REF!</v>
      </c>
      <c r="H184" s="94" t="e">
        <f t="shared" si="32"/>
        <v>#REF!</v>
      </c>
      <c r="I184" s="519" t="e">
        <f t="shared" si="33"/>
        <v>#REF!</v>
      </c>
      <c r="J184" s="95">
        <v>125</v>
      </c>
      <c r="K184" s="96"/>
      <c r="L184" s="91" t="str">
        <f t="shared" si="34"/>
        <v>Ø125</v>
      </c>
      <c r="M184" s="97">
        <f t="shared" si="35"/>
        <v>1.2271846303085129E-2</v>
      </c>
      <c r="N184" s="98">
        <v>100</v>
      </c>
      <c r="O184" s="99">
        <v>0.3</v>
      </c>
      <c r="P184" s="96" t="s">
        <v>49</v>
      </c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>
        <v>1.7358187756665649E-11</v>
      </c>
      <c r="AB184" s="96">
        <v>-3.4465910072903031E-8</v>
      </c>
      <c r="AC184" s="96">
        <v>2.4285645422432082E-5</v>
      </c>
      <c r="AD184" s="91">
        <v>-7.6662373454126683E-3</v>
      </c>
      <c r="AE184" s="91">
        <v>1.0762173493377307</v>
      </c>
      <c r="AF184" s="68">
        <v>-0.50338850853657391</v>
      </c>
      <c r="AI184" s="41"/>
      <c r="AJ184" s="41"/>
      <c r="AM184" s="41"/>
      <c r="AN184" s="41"/>
      <c r="AO184" s="41"/>
      <c r="AP184" s="40"/>
      <c r="AQ184" s="40"/>
      <c r="AU184" s="41"/>
      <c r="AV184" s="41"/>
    </row>
    <row r="185" spans="1:48">
      <c r="A185" s="537" t="s">
        <v>849</v>
      </c>
      <c r="B185" s="81">
        <f>MATCH(A185,Заслонки!B$6:B$1986,0)</f>
        <v>16</v>
      </c>
      <c r="C185" s="82" t="str">
        <f ca="1">OFFSET(Заслонки!B$6,B185-1,0)</f>
        <v>Заслонка воздушная LV-BDCM 160H E16</v>
      </c>
      <c r="D185" s="82" t="str">
        <f t="shared" ca="1" si="30"/>
        <v>LV-BDCM 160H E16</v>
      </c>
      <c r="E185" s="488">
        <f ca="1">OFFSET(Заслонки!C$6,B185-1,0)</f>
        <v>1786</v>
      </c>
      <c r="F185" s="145" t="s">
        <v>591</v>
      </c>
      <c r="G185" s="83" t="e">
        <f t="shared" si="31"/>
        <v>#REF!</v>
      </c>
      <c r="H185" s="84" t="e">
        <f t="shared" si="32"/>
        <v>#REF!</v>
      </c>
      <c r="I185" s="518" t="e">
        <f t="shared" si="33"/>
        <v>#REF!</v>
      </c>
      <c r="J185" s="85">
        <v>160</v>
      </c>
      <c r="K185" s="86"/>
      <c r="L185" s="81" t="str">
        <f t="shared" si="34"/>
        <v>Ø160</v>
      </c>
      <c r="M185" s="87">
        <f t="shared" si="35"/>
        <v>2.0106192982974676E-2</v>
      </c>
      <c r="N185" s="88">
        <v>200</v>
      </c>
      <c r="O185" s="89">
        <v>0.7</v>
      </c>
      <c r="P185" s="86" t="s">
        <v>48</v>
      </c>
      <c r="Q185" s="86"/>
      <c r="R185" s="86"/>
      <c r="S185" s="86"/>
      <c r="T185" s="86"/>
      <c r="U185" s="86"/>
      <c r="V185" s="86"/>
      <c r="W185" s="86">
        <v>217</v>
      </c>
      <c r="X185" s="86">
        <v>362</v>
      </c>
      <c r="Y185" s="86">
        <v>6</v>
      </c>
      <c r="Z185" s="86">
        <v>11</v>
      </c>
      <c r="AA185" s="86"/>
      <c r="AB185" s="86"/>
      <c r="AC185" s="86"/>
      <c r="AD185" s="81">
        <f>(Y185/W185-Z185/X185)/(W185-X185)</f>
        <v>1.8875660318884506E-5</v>
      </c>
      <c r="AE185" s="81">
        <f>Y185/W185-AD185*W185</f>
        <v>2.3553751296055518E-2</v>
      </c>
      <c r="AF185" s="52"/>
      <c r="AI185" s="41"/>
      <c r="AJ185" s="41"/>
      <c r="AM185" s="41"/>
      <c r="AN185" s="41"/>
      <c r="AO185" s="41"/>
      <c r="AP185" s="40"/>
      <c r="AQ185" s="40"/>
      <c r="AU185" s="41"/>
      <c r="AV185" s="41"/>
    </row>
    <row r="186" spans="1:48">
      <c r="A186" s="539" t="s">
        <v>873</v>
      </c>
      <c r="B186" s="91" t="e">
        <f>MATCH(A186,Заслонки!B$6:B$1986,0)</f>
        <v>#N/A</v>
      </c>
      <c r="C186" s="92" t="e">
        <f ca="1">OFFSET(Заслонки!B$6,B186-1,0)</f>
        <v>#N/A</v>
      </c>
      <c r="D186" s="92" t="e">
        <f t="shared" ca="1" si="30"/>
        <v>#N/A</v>
      </c>
      <c r="E186" s="487" t="e">
        <f ca="1">OFFSET(Заслонки!C$6,B186-1,0)</f>
        <v>#N/A</v>
      </c>
      <c r="F186" s="146" t="s">
        <v>591</v>
      </c>
      <c r="G186" s="93" t="e">
        <f t="shared" si="31"/>
        <v>#REF!</v>
      </c>
      <c r="H186" s="94" t="e">
        <f t="shared" si="32"/>
        <v>#REF!</v>
      </c>
      <c r="I186" s="519" t="e">
        <f t="shared" si="33"/>
        <v>#REF!</v>
      </c>
      <c r="J186" s="95">
        <v>160</v>
      </c>
      <c r="K186" s="96"/>
      <c r="L186" s="91" t="str">
        <f t="shared" si="34"/>
        <v>Ø160</v>
      </c>
      <c r="M186" s="97">
        <f t="shared" si="35"/>
        <v>2.0106192982974676E-2</v>
      </c>
      <c r="N186" s="98">
        <v>110</v>
      </c>
      <c r="O186" s="99">
        <v>0.4</v>
      </c>
      <c r="P186" s="96" t="s">
        <v>49</v>
      </c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>
        <v>1.4702956934518638E-12</v>
      </c>
      <c r="AB186" s="96">
        <v>-4.7831058659490253E-9</v>
      </c>
      <c r="AC186" s="96">
        <v>5.5219164602091015E-6</v>
      </c>
      <c r="AD186" s="91">
        <v>-2.8558959608571237E-3</v>
      </c>
      <c r="AE186" s="91">
        <v>0.65687094075788399</v>
      </c>
      <c r="AF186" s="68">
        <v>-0.50338850853647443</v>
      </c>
      <c r="AI186" s="41"/>
      <c r="AJ186" s="41"/>
      <c r="AM186" s="41"/>
      <c r="AN186" s="41"/>
      <c r="AO186" s="41"/>
      <c r="AP186" s="40"/>
      <c r="AQ186" s="40"/>
      <c r="AU186" s="41"/>
      <c r="AV186" s="41"/>
    </row>
    <row r="187" spans="1:48">
      <c r="A187" s="537" t="s">
        <v>850</v>
      </c>
      <c r="B187" s="81">
        <f>MATCH(A187,Заслонки!B$6:B$1986,0)</f>
        <v>17</v>
      </c>
      <c r="C187" s="82" t="str">
        <f ca="1">OFFSET(Заслонки!B$6,B187-1,0)</f>
        <v>Заслонка воздушная LV-BDCM 200H E16</v>
      </c>
      <c r="D187" s="82" t="str">
        <f t="shared" ca="1" si="30"/>
        <v>LV-BDCM 200H E16</v>
      </c>
      <c r="E187" s="488">
        <f ca="1">OFFSET(Заслонки!C$6,B187-1,0)</f>
        <v>2086</v>
      </c>
      <c r="F187" s="145" t="s">
        <v>591</v>
      </c>
      <c r="G187" s="83" t="e">
        <f t="shared" si="31"/>
        <v>#REF!</v>
      </c>
      <c r="H187" s="84" t="e">
        <f t="shared" si="32"/>
        <v>#REF!</v>
      </c>
      <c r="I187" s="518" t="e">
        <f t="shared" si="33"/>
        <v>#REF!</v>
      </c>
      <c r="J187" s="85">
        <v>200</v>
      </c>
      <c r="K187" s="86"/>
      <c r="L187" s="81" t="str">
        <f t="shared" si="34"/>
        <v>Ø200</v>
      </c>
      <c r="M187" s="87">
        <f t="shared" si="35"/>
        <v>3.1415926535897934E-2</v>
      </c>
      <c r="N187" s="88">
        <v>200</v>
      </c>
      <c r="O187" s="89">
        <v>1</v>
      </c>
      <c r="P187" s="86" t="s">
        <v>48</v>
      </c>
      <c r="Q187" s="86"/>
      <c r="R187" s="86"/>
      <c r="S187" s="86"/>
      <c r="T187" s="86"/>
      <c r="U187" s="86"/>
      <c r="V187" s="86"/>
      <c r="W187" s="86">
        <v>339</v>
      </c>
      <c r="X187" s="86">
        <v>565</v>
      </c>
      <c r="Y187" s="86">
        <v>6</v>
      </c>
      <c r="Z187" s="86">
        <v>11</v>
      </c>
      <c r="AA187" s="86"/>
      <c r="AB187" s="86"/>
      <c r="AC187" s="86"/>
      <c r="AD187" s="81">
        <f>(Y187/W187-Z187/X187)/(W187-X187)</f>
        <v>7.8314668337379586E-6</v>
      </c>
      <c r="AE187" s="81">
        <f>Y187/W187-AD187*W187</f>
        <v>1.5044247787610619E-2</v>
      </c>
      <c r="AF187" s="52"/>
      <c r="AI187" s="41"/>
      <c r="AJ187" s="41"/>
      <c r="AM187" s="41"/>
      <c r="AN187" s="41"/>
      <c r="AO187" s="41"/>
      <c r="AP187" s="40"/>
      <c r="AQ187" s="40"/>
      <c r="AU187" s="41"/>
      <c r="AV187" s="41"/>
    </row>
    <row r="188" spans="1:48">
      <c r="A188" s="539" t="s">
        <v>874</v>
      </c>
      <c r="B188" s="91" t="e">
        <f>MATCH(A188,Заслонки!B$6:B$1986,0)</f>
        <v>#N/A</v>
      </c>
      <c r="C188" s="92" t="e">
        <f ca="1">OFFSET(Заслонки!B$6,B188-1,0)</f>
        <v>#N/A</v>
      </c>
      <c r="D188" s="92" t="e">
        <f t="shared" ca="1" si="30"/>
        <v>#N/A</v>
      </c>
      <c r="E188" s="487" t="e">
        <f ca="1">OFFSET(Заслонки!C$6,B188-1,0)</f>
        <v>#N/A</v>
      </c>
      <c r="F188" s="146" t="s">
        <v>591</v>
      </c>
      <c r="G188" s="93" t="e">
        <f t="shared" si="31"/>
        <v>#REF!</v>
      </c>
      <c r="H188" s="94" t="e">
        <f t="shared" si="32"/>
        <v>#REF!</v>
      </c>
      <c r="I188" s="519" t="e">
        <f t="shared" si="33"/>
        <v>#REF!</v>
      </c>
      <c r="J188" s="95">
        <v>200</v>
      </c>
      <c r="K188" s="96"/>
      <c r="L188" s="91" t="str">
        <f t="shared" si="34"/>
        <v>Ø200</v>
      </c>
      <c r="M188" s="97">
        <f t="shared" si="35"/>
        <v>3.1415926535897934E-2</v>
      </c>
      <c r="N188" s="98">
        <v>140</v>
      </c>
      <c r="O188" s="99">
        <v>0.6</v>
      </c>
      <c r="P188" s="96" t="s">
        <v>49</v>
      </c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>
        <v>1.5787179797062818E-13</v>
      </c>
      <c r="AB188" s="96">
        <v>-8.024720026389135E-10</v>
      </c>
      <c r="AC188" s="96">
        <v>1.4475372685450223E-6</v>
      </c>
      <c r="AD188" s="91">
        <v>-1.1697749855670591E-3</v>
      </c>
      <c r="AE188" s="91">
        <v>0.42039740208504139</v>
      </c>
      <c r="AF188" s="68">
        <v>-0.50338850853632522</v>
      </c>
      <c r="AI188" s="41"/>
      <c r="AJ188" s="41"/>
      <c r="AM188" s="41"/>
      <c r="AN188" s="41"/>
      <c r="AO188" s="41"/>
      <c r="AP188" s="40"/>
      <c r="AQ188" s="40"/>
      <c r="AU188" s="41"/>
      <c r="AV188" s="41"/>
    </row>
    <row r="189" spans="1:48">
      <c r="A189" s="537" t="s">
        <v>851</v>
      </c>
      <c r="B189" s="81">
        <f>MATCH(A189,Заслонки!B$6:B$1986,0)</f>
        <v>18</v>
      </c>
      <c r="C189" s="82" t="str">
        <f ca="1">OFFSET(Заслонки!B$6,B189-1,0)</f>
        <v>Заслонка воздушная LV-BDCM 250H E16</v>
      </c>
      <c r="D189" s="82" t="str">
        <f t="shared" ca="1" si="30"/>
        <v>LV-BDCM 250H E16</v>
      </c>
      <c r="E189" s="488">
        <f ca="1">OFFSET(Заслонки!C$6,B189-1,0)</f>
        <v>2481</v>
      </c>
      <c r="F189" s="145" t="s">
        <v>591</v>
      </c>
      <c r="G189" s="83" t="e">
        <f t="shared" si="31"/>
        <v>#REF!</v>
      </c>
      <c r="H189" s="84" t="e">
        <f t="shared" si="32"/>
        <v>#REF!</v>
      </c>
      <c r="I189" s="518" t="e">
        <f t="shared" si="33"/>
        <v>#REF!</v>
      </c>
      <c r="J189" s="85">
        <v>250</v>
      </c>
      <c r="K189" s="86"/>
      <c r="L189" s="81" t="str">
        <f t="shared" si="34"/>
        <v>Ø250</v>
      </c>
      <c r="M189" s="87">
        <f t="shared" si="35"/>
        <v>4.9087385212340517E-2</v>
      </c>
      <c r="N189" s="88">
        <v>260</v>
      </c>
      <c r="O189" s="89">
        <v>1.5</v>
      </c>
      <c r="P189" s="86" t="s">
        <v>48</v>
      </c>
      <c r="Q189" s="86"/>
      <c r="R189" s="86"/>
      <c r="S189" s="86"/>
      <c r="T189" s="86"/>
      <c r="U189" s="86"/>
      <c r="V189" s="86"/>
      <c r="W189" s="86">
        <v>530</v>
      </c>
      <c r="X189" s="86">
        <v>884</v>
      </c>
      <c r="Y189" s="86">
        <v>6</v>
      </c>
      <c r="Z189" s="86">
        <v>11</v>
      </c>
      <c r="AA189" s="86"/>
      <c r="AB189" s="86"/>
      <c r="AC189" s="86"/>
      <c r="AD189" s="81">
        <f>(Y189/W189-Z189/X189)/(W189-X189)</f>
        <v>3.1714242854407266E-6</v>
      </c>
      <c r="AE189" s="81">
        <f>Y189/W189-AD189*W189</f>
        <v>9.6398998456975471E-3</v>
      </c>
      <c r="AF189" s="52"/>
      <c r="AI189" s="41"/>
      <c r="AJ189" s="41"/>
      <c r="AM189" s="41"/>
      <c r="AN189" s="41"/>
      <c r="AO189" s="41"/>
      <c r="AP189" s="40"/>
      <c r="AQ189" s="40"/>
      <c r="AU189" s="41"/>
      <c r="AV189" s="41"/>
    </row>
    <row r="190" spans="1:48">
      <c r="A190" s="539" t="s">
        <v>875</v>
      </c>
      <c r="B190" s="91" t="e">
        <f>MATCH(A190,Заслонки!B$6:B$1986,0)</f>
        <v>#N/A</v>
      </c>
      <c r="C190" s="92" t="e">
        <f ca="1">OFFSET(Заслонки!B$6,B190-1,0)</f>
        <v>#N/A</v>
      </c>
      <c r="D190" s="92" t="e">
        <f t="shared" ca="1" si="30"/>
        <v>#N/A</v>
      </c>
      <c r="E190" s="487" t="e">
        <f ca="1">OFFSET(Заслонки!C$6,B190-1,0)</f>
        <v>#N/A</v>
      </c>
      <c r="F190" s="146" t="s">
        <v>591</v>
      </c>
      <c r="G190" s="93" t="e">
        <f t="shared" si="31"/>
        <v>#REF!</v>
      </c>
      <c r="H190" s="94" t="e">
        <f t="shared" si="32"/>
        <v>#REF!</v>
      </c>
      <c r="I190" s="519" t="e">
        <f t="shared" si="33"/>
        <v>#REF!</v>
      </c>
      <c r="J190" s="95">
        <v>250</v>
      </c>
      <c r="K190" s="96"/>
      <c r="L190" s="91" t="str">
        <f t="shared" si="34"/>
        <v>Ø250</v>
      </c>
      <c r="M190" s="97">
        <f t="shared" si="35"/>
        <v>4.9087385212340517E-2</v>
      </c>
      <c r="N190" s="98">
        <v>140</v>
      </c>
      <c r="O190" s="99">
        <v>0.7</v>
      </c>
      <c r="P190" s="96" t="s">
        <v>49</v>
      </c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>
        <v>1.6951355231118798E-14</v>
      </c>
      <c r="AB190" s="96">
        <v>-1.3463246122227746E-10</v>
      </c>
      <c r="AC190" s="96">
        <v>3.7946320972550127E-7</v>
      </c>
      <c r="AD190" s="91">
        <v>-4.7913983408829177E-4</v>
      </c>
      <c r="AE190" s="91">
        <v>0.26905433733443268</v>
      </c>
      <c r="AF190" s="68">
        <v>-0.50338850853657391</v>
      </c>
      <c r="AI190" s="41"/>
      <c r="AJ190" s="41"/>
      <c r="AM190" s="41"/>
      <c r="AN190" s="41"/>
      <c r="AO190" s="41"/>
      <c r="AP190" s="40"/>
      <c r="AQ190" s="40"/>
      <c r="AU190" s="41"/>
      <c r="AV190" s="41"/>
    </row>
    <row r="191" spans="1:48">
      <c r="A191" s="537" t="s">
        <v>852</v>
      </c>
      <c r="B191" s="81">
        <f>MATCH(A191,Заслонки!B$6:B$1986,0)</f>
        <v>19</v>
      </c>
      <c r="C191" s="82" t="str">
        <f ca="1">OFFSET(Заслонки!B$6,B191-1,0)</f>
        <v>Заслонка воздушная LV-BDCM 315H E16</v>
      </c>
      <c r="D191" s="82" t="str">
        <f t="shared" ca="1" si="30"/>
        <v>LV-BDCM 315H E16</v>
      </c>
      <c r="E191" s="488">
        <f ca="1">OFFSET(Заслонки!C$6,B191-1,0)</f>
        <v>2881</v>
      </c>
      <c r="F191" s="145" t="s">
        <v>591</v>
      </c>
      <c r="G191" s="83" t="e">
        <f t="shared" si="31"/>
        <v>#REF!</v>
      </c>
      <c r="H191" s="84" t="e">
        <f t="shared" si="32"/>
        <v>#REF!</v>
      </c>
      <c r="I191" s="518" t="e">
        <f t="shared" si="33"/>
        <v>#REF!</v>
      </c>
      <c r="J191" s="85">
        <v>315</v>
      </c>
      <c r="K191" s="86"/>
      <c r="L191" s="81" t="str">
        <f t="shared" si="34"/>
        <v>Ø315</v>
      </c>
      <c r="M191" s="87">
        <f t="shared" si="35"/>
        <v>7.793113276311181E-2</v>
      </c>
      <c r="N191" s="88">
        <v>260</v>
      </c>
      <c r="O191" s="89">
        <v>2.1</v>
      </c>
      <c r="P191" s="86" t="s">
        <v>48</v>
      </c>
      <c r="Q191" s="86"/>
      <c r="R191" s="86"/>
      <c r="S191" s="86"/>
      <c r="T191" s="86"/>
      <c r="U191" s="86"/>
      <c r="V191" s="86"/>
      <c r="W191" s="86">
        <v>842</v>
      </c>
      <c r="X191" s="86">
        <v>1403</v>
      </c>
      <c r="Y191" s="86">
        <v>6</v>
      </c>
      <c r="Z191" s="86">
        <v>11</v>
      </c>
      <c r="AA191" s="86"/>
      <c r="AB191" s="86"/>
      <c r="AC191" s="86"/>
      <c r="AD191" s="81">
        <f>(Y191/W191-Z191/X191)/(W191-X191)</f>
        <v>1.2735318853438762E-6</v>
      </c>
      <c r="AE191" s="81">
        <f>Y191/W191-AD191*W191</f>
        <v>6.0535768888824995E-3</v>
      </c>
      <c r="AF191" s="52"/>
      <c r="AI191" s="41"/>
      <c r="AJ191" s="41"/>
      <c r="AM191" s="41"/>
      <c r="AN191" s="41"/>
      <c r="AO191" s="41"/>
      <c r="AP191" s="40"/>
      <c r="AQ191" s="40"/>
      <c r="AU191" s="41"/>
      <c r="AV191" s="41"/>
    </row>
    <row r="192" spans="1:48">
      <c r="A192" s="539" t="s">
        <v>876</v>
      </c>
      <c r="B192" s="91" t="e">
        <f>MATCH(A192,Заслонки!B$6:B$1986,0)</f>
        <v>#N/A</v>
      </c>
      <c r="C192" s="92" t="e">
        <f ca="1">OFFSET(Заслонки!B$6,B192-1,0)</f>
        <v>#N/A</v>
      </c>
      <c r="D192" s="92" t="e">
        <f t="shared" ca="1" si="30"/>
        <v>#N/A</v>
      </c>
      <c r="E192" s="487" t="e">
        <f ca="1">OFFSET(Заслонки!C$6,B192-1,0)</f>
        <v>#N/A</v>
      </c>
      <c r="F192" s="146" t="s">
        <v>591</v>
      </c>
      <c r="G192" s="93" t="e">
        <f t="shared" si="31"/>
        <v>#REF!</v>
      </c>
      <c r="H192" s="94" t="e">
        <f t="shared" si="32"/>
        <v>#REF!</v>
      </c>
      <c r="I192" s="519" t="e">
        <f t="shared" si="33"/>
        <v>#REF!</v>
      </c>
      <c r="J192" s="95">
        <v>315</v>
      </c>
      <c r="K192" s="96"/>
      <c r="L192" s="91" t="str">
        <f t="shared" si="34"/>
        <v>Ø315</v>
      </c>
      <c r="M192" s="97">
        <f t="shared" si="35"/>
        <v>7.793113276311181E-2</v>
      </c>
      <c r="N192" s="98">
        <v>140</v>
      </c>
      <c r="O192" s="99">
        <v>0.9</v>
      </c>
      <c r="P192" s="96" t="s">
        <v>49</v>
      </c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>
        <v>1.6807339544051855E-15</v>
      </c>
      <c r="AB192" s="96">
        <v>-2.1192657736297602E-11</v>
      </c>
      <c r="AC192" s="96">
        <v>9.4830142945933595E-8</v>
      </c>
      <c r="AD192" s="91">
        <v>-1.9009911616308476E-4</v>
      </c>
      <c r="AE192" s="91">
        <v>0.16947237171480406</v>
      </c>
      <c r="AF192" s="68">
        <v>-0.50338850853650285</v>
      </c>
      <c r="AI192" s="41"/>
      <c r="AJ192" s="41"/>
      <c r="AM192" s="41"/>
      <c r="AN192" s="41"/>
      <c r="AO192" s="41"/>
      <c r="AP192" s="40"/>
      <c r="AQ192" s="40"/>
      <c r="AU192" s="41"/>
      <c r="AV192" s="41"/>
    </row>
    <row r="193" spans="1:48">
      <c r="A193" s="537" t="s">
        <v>853</v>
      </c>
      <c r="B193" s="81">
        <f>MATCH(A193,Заслонки!B$6:B$1986,0)</f>
        <v>21</v>
      </c>
      <c r="C193" s="82" t="str">
        <f ca="1">OFFSET(Заслонки!B$6,B193-1,0)</f>
        <v>Заслонка воздушная LV-BDTM 400x200 E16</v>
      </c>
      <c r="D193" s="82" t="str">
        <f t="shared" ca="1" si="30"/>
        <v>LV-BDTM 400x200 E16</v>
      </c>
      <c r="E193" s="488">
        <f ca="1">OFFSET(Заслонки!C$6,B193-1,0)</f>
        <v>3988</v>
      </c>
      <c r="F193" s="145" t="s">
        <v>591</v>
      </c>
      <c r="G193" s="83" t="e">
        <f t="shared" si="31"/>
        <v>#REF!</v>
      </c>
      <c r="H193" s="84" t="e">
        <f t="shared" si="32"/>
        <v>#REF!</v>
      </c>
      <c r="I193" s="518" t="e">
        <f t="shared" si="33"/>
        <v>#REF!</v>
      </c>
      <c r="J193" s="86">
        <v>400</v>
      </c>
      <c r="K193" s="86">
        <v>200</v>
      </c>
      <c r="L193" s="81" t="str">
        <f t="shared" si="34"/>
        <v>400x200</v>
      </c>
      <c r="M193" s="87">
        <f t="shared" si="35"/>
        <v>0.08</v>
      </c>
      <c r="N193" s="88">
        <v>120</v>
      </c>
      <c r="O193" s="89">
        <v>5</v>
      </c>
      <c r="P193" s="86" t="s">
        <v>48</v>
      </c>
      <c r="Q193" s="86"/>
      <c r="R193" s="86"/>
      <c r="S193" s="86"/>
      <c r="T193" s="86"/>
      <c r="U193" s="86"/>
      <c r="V193" s="86"/>
      <c r="W193" s="86">
        <v>864</v>
      </c>
      <c r="X193" s="86">
        <v>1440</v>
      </c>
      <c r="Y193" s="86">
        <v>3</v>
      </c>
      <c r="Z193" s="86">
        <v>6</v>
      </c>
      <c r="AA193" s="86"/>
      <c r="AB193" s="86"/>
      <c r="AC193" s="86"/>
      <c r="AD193" s="81">
        <f t="shared" ref="AD193:AD210" si="36">(Y193/W193-Z193/X193)/(W193-X193)</f>
        <v>1.2056327160493829E-6</v>
      </c>
      <c r="AE193" s="81">
        <f t="shared" ref="AE193:AE210" si="37">Y193/W193-AD193*W193</f>
        <v>2.4305555555555552E-3</v>
      </c>
      <c r="AF193" s="52"/>
      <c r="AI193" s="41"/>
      <c r="AJ193" s="41"/>
      <c r="AM193" s="41"/>
      <c r="AN193" s="41"/>
      <c r="AO193" s="41"/>
      <c r="AP193" s="40"/>
      <c r="AQ193" s="40"/>
      <c r="AU193" s="41"/>
      <c r="AV193" s="41"/>
    </row>
    <row r="194" spans="1:48">
      <c r="A194" s="539" t="s">
        <v>854</v>
      </c>
      <c r="B194" s="91">
        <f>MATCH(A194,Заслонки!B$6:B$1986,0)</f>
        <v>31</v>
      </c>
      <c r="C194" s="92" t="str">
        <f ca="1">OFFSET(Заслонки!B$6,B194-1,0)</f>
        <v>Заслонка воздушная LV-BDTM 400x200-W E16</v>
      </c>
      <c r="D194" s="92" t="str">
        <f ca="1">RIGHT(C194,LEN(C194)+1-SEARCH("LV-",C194,1))</f>
        <v>LV-BDTM 400x200-W E16</v>
      </c>
      <c r="E194" s="487">
        <f ca="1">OFFSET(Заслонки!C$6,B194-1,0)</f>
        <v>10037</v>
      </c>
      <c r="F194" s="146" t="s">
        <v>591</v>
      </c>
      <c r="G194" s="93" t="e">
        <f t="shared" si="31"/>
        <v>#REF!</v>
      </c>
      <c r="H194" s="94" t="e">
        <f t="shared" si="32"/>
        <v>#REF!</v>
      </c>
      <c r="I194" s="519" t="e">
        <f t="shared" si="33"/>
        <v>#REF!</v>
      </c>
      <c r="J194" s="96">
        <v>400</v>
      </c>
      <c r="K194" s="96">
        <v>200</v>
      </c>
      <c r="L194" s="91" t="str">
        <f t="shared" si="34"/>
        <v>400x200</v>
      </c>
      <c r="M194" s="97">
        <f t="shared" si="35"/>
        <v>0.08</v>
      </c>
      <c r="N194" s="98">
        <v>120</v>
      </c>
      <c r="O194" s="99">
        <v>6</v>
      </c>
      <c r="P194" s="96" t="s">
        <v>130</v>
      </c>
      <c r="Q194" s="96"/>
      <c r="R194" s="96"/>
      <c r="S194" s="96"/>
      <c r="T194" s="96"/>
      <c r="U194" s="96"/>
      <c r="V194" s="96"/>
      <c r="W194" s="96">
        <v>864</v>
      </c>
      <c r="X194" s="96">
        <v>1440</v>
      </c>
      <c r="Y194" s="96">
        <v>3</v>
      </c>
      <c r="Z194" s="96">
        <v>6</v>
      </c>
      <c r="AA194" s="96"/>
      <c r="AB194" s="96"/>
      <c r="AC194" s="96"/>
      <c r="AD194" s="91">
        <f t="shared" si="36"/>
        <v>1.2056327160493829E-6</v>
      </c>
      <c r="AE194" s="91">
        <f t="shared" si="37"/>
        <v>2.4305555555555552E-3</v>
      </c>
      <c r="AF194" s="68"/>
      <c r="AI194" s="41"/>
      <c r="AJ194" s="41"/>
      <c r="AM194" s="41"/>
      <c r="AN194" s="41"/>
      <c r="AO194" s="41"/>
      <c r="AP194" s="40"/>
      <c r="AQ194" s="40"/>
      <c r="AU194" s="41"/>
      <c r="AV194" s="41"/>
    </row>
    <row r="195" spans="1:48">
      <c r="A195" s="537" t="s">
        <v>855</v>
      </c>
      <c r="B195" s="81">
        <f>MATCH(A195,Заслонки!B$6:B$1986,0)</f>
        <v>22</v>
      </c>
      <c r="C195" s="82" t="str">
        <f ca="1">OFFSET(Заслонки!B$6,B195-1,0)</f>
        <v>Заслонка воздушная LV-BDTM 500x250 E16</v>
      </c>
      <c r="D195" s="82" t="str">
        <f t="shared" ca="1" si="30"/>
        <v>LV-BDTM 500x250 E16</v>
      </c>
      <c r="E195" s="488">
        <f ca="1">OFFSET(Заслонки!C$6,B195-1,0)</f>
        <v>5811</v>
      </c>
      <c r="F195" s="145" t="s">
        <v>591</v>
      </c>
      <c r="G195" s="83" t="e">
        <f t="shared" si="31"/>
        <v>#REF!</v>
      </c>
      <c r="H195" s="84" t="e">
        <f t="shared" si="32"/>
        <v>#REF!</v>
      </c>
      <c r="I195" s="518" t="e">
        <f t="shared" si="33"/>
        <v>#REF!</v>
      </c>
      <c r="J195" s="86">
        <v>500</v>
      </c>
      <c r="K195" s="86">
        <v>250</v>
      </c>
      <c r="L195" s="81" t="str">
        <f t="shared" si="34"/>
        <v>500x250</v>
      </c>
      <c r="M195" s="87">
        <f t="shared" si="35"/>
        <v>0.125</v>
      </c>
      <c r="N195" s="88">
        <v>120</v>
      </c>
      <c r="O195" s="89">
        <v>6</v>
      </c>
      <c r="P195" s="86" t="s">
        <v>48</v>
      </c>
      <c r="Q195" s="86"/>
      <c r="R195" s="86"/>
      <c r="S195" s="86"/>
      <c r="T195" s="86"/>
      <c r="U195" s="86"/>
      <c r="V195" s="86"/>
      <c r="W195" s="86">
        <v>1350</v>
      </c>
      <c r="X195" s="86">
        <v>2250</v>
      </c>
      <c r="Y195" s="86">
        <v>3</v>
      </c>
      <c r="Z195" s="86">
        <v>6</v>
      </c>
      <c r="AA195" s="86"/>
      <c r="AB195" s="86"/>
      <c r="AC195" s="86"/>
      <c r="AD195" s="81">
        <f t="shared" si="36"/>
        <v>4.9382716049382708E-7</v>
      </c>
      <c r="AE195" s="81">
        <f t="shared" si="37"/>
        <v>1.5555555555555557E-3</v>
      </c>
      <c r="AF195" s="52"/>
      <c r="AI195" s="41"/>
      <c r="AJ195" s="41"/>
      <c r="AM195" s="41"/>
      <c r="AN195" s="41"/>
      <c r="AO195" s="41"/>
      <c r="AP195" s="40"/>
      <c r="AQ195" s="40"/>
      <c r="AU195" s="41"/>
      <c r="AV195" s="41"/>
    </row>
    <row r="196" spans="1:48">
      <c r="A196" s="539" t="s">
        <v>856</v>
      </c>
      <c r="B196" s="91">
        <f>MATCH(A196,Заслонки!B$6:B$1986,0)</f>
        <v>32</v>
      </c>
      <c r="C196" s="92" t="str">
        <f ca="1">OFFSET(Заслонки!B$6,B196-1,0)</f>
        <v>Заслонка воздушная LV-BDTM 500x250-W E16</v>
      </c>
      <c r="D196" s="92" t="str">
        <f ca="1">RIGHT(C196,LEN(C196)+1-SEARCH("LV-",C196,1))</f>
        <v>LV-BDTM 500x250-W E16</v>
      </c>
      <c r="E196" s="487">
        <f ca="1">OFFSET(Заслонки!C$6,B196-1,0)</f>
        <v>12481</v>
      </c>
      <c r="F196" s="146" t="s">
        <v>591</v>
      </c>
      <c r="G196" s="93" t="e">
        <f t="shared" si="31"/>
        <v>#REF!</v>
      </c>
      <c r="H196" s="94" t="e">
        <f t="shared" si="32"/>
        <v>#REF!</v>
      </c>
      <c r="I196" s="519" t="e">
        <f t="shared" si="33"/>
        <v>#REF!</v>
      </c>
      <c r="J196" s="96">
        <v>500</v>
      </c>
      <c r="K196" s="96">
        <v>250</v>
      </c>
      <c r="L196" s="91" t="str">
        <f t="shared" si="34"/>
        <v>500x250</v>
      </c>
      <c r="M196" s="97">
        <f>IF(K196&gt;1,J196*K196,PI()*J196^2/4)/1000000</f>
        <v>0.125</v>
      </c>
      <c r="N196" s="98">
        <v>120</v>
      </c>
      <c r="O196" s="99">
        <v>7</v>
      </c>
      <c r="P196" s="96" t="s">
        <v>130</v>
      </c>
      <c r="Q196" s="96"/>
      <c r="R196" s="96"/>
      <c r="S196" s="96"/>
      <c r="T196" s="96"/>
      <c r="U196" s="96"/>
      <c r="V196" s="96"/>
      <c r="W196" s="96">
        <v>1350</v>
      </c>
      <c r="X196" s="96">
        <v>2250</v>
      </c>
      <c r="Y196" s="96">
        <v>3</v>
      </c>
      <c r="Z196" s="96">
        <v>6</v>
      </c>
      <c r="AA196" s="96"/>
      <c r="AB196" s="96"/>
      <c r="AC196" s="96"/>
      <c r="AD196" s="91">
        <f t="shared" si="36"/>
        <v>4.9382716049382708E-7</v>
      </c>
      <c r="AE196" s="91">
        <f t="shared" si="37"/>
        <v>1.5555555555555557E-3</v>
      </c>
      <c r="AF196" s="68"/>
      <c r="AI196" s="41"/>
      <c r="AJ196" s="41"/>
      <c r="AM196" s="41"/>
      <c r="AN196" s="41"/>
      <c r="AO196" s="41"/>
      <c r="AP196" s="40"/>
      <c r="AQ196" s="40"/>
      <c r="AU196" s="41"/>
      <c r="AV196" s="41"/>
    </row>
    <row r="197" spans="1:48">
      <c r="A197" s="537" t="s">
        <v>857</v>
      </c>
      <c r="B197" s="81">
        <f>MATCH(A197,Заслонки!B$6:B$1986,0)</f>
        <v>23</v>
      </c>
      <c r="C197" s="82" t="str">
        <f ca="1">OFFSET(Заслонки!B$6,B197-1,0)</f>
        <v>Заслонка воздушная LV-BDTM 500x300 E16</v>
      </c>
      <c r="D197" s="82" t="str">
        <f t="shared" ca="1" si="30"/>
        <v>LV-BDTM 500x300 E16</v>
      </c>
      <c r="E197" s="488">
        <f ca="1">OFFSET(Заслонки!C$6,B197-1,0)</f>
        <v>6149</v>
      </c>
      <c r="F197" s="145" t="s">
        <v>591</v>
      </c>
      <c r="G197" s="83" t="e">
        <f t="shared" si="31"/>
        <v>#REF!</v>
      </c>
      <c r="H197" s="84" t="e">
        <f t="shared" si="32"/>
        <v>#REF!</v>
      </c>
      <c r="I197" s="518" t="e">
        <f t="shared" si="33"/>
        <v>#REF!</v>
      </c>
      <c r="J197" s="86">
        <v>500</v>
      </c>
      <c r="K197" s="86">
        <v>300</v>
      </c>
      <c r="L197" s="81" t="str">
        <f t="shared" si="34"/>
        <v>500x300</v>
      </c>
      <c r="M197" s="87">
        <f t="shared" si="35"/>
        <v>0.15</v>
      </c>
      <c r="N197" s="88">
        <v>120</v>
      </c>
      <c r="O197" s="89">
        <v>7</v>
      </c>
      <c r="P197" s="86" t="s">
        <v>48</v>
      </c>
      <c r="Q197" s="86"/>
      <c r="R197" s="86"/>
      <c r="S197" s="86"/>
      <c r="T197" s="86"/>
      <c r="U197" s="86"/>
      <c r="V197" s="86"/>
      <c r="W197" s="86">
        <v>1620</v>
      </c>
      <c r="X197" s="86">
        <v>2700</v>
      </c>
      <c r="Y197" s="86">
        <v>3</v>
      </c>
      <c r="Z197" s="86">
        <v>6</v>
      </c>
      <c r="AA197" s="86"/>
      <c r="AB197" s="86"/>
      <c r="AC197" s="86"/>
      <c r="AD197" s="81">
        <f t="shared" si="36"/>
        <v>3.4293552812071326E-7</v>
      </c>
      <c r="AE197" s="81">
        <f t="shared" si="37"/>
        <v>1.2962962962962965E-3</v>
      </c>
      <c r="AF197" s="52"/>
      <c r="AI197" s="41"/>
      <c r="AJ197" s="41"/>
      <c r="AM197" s="41"/>
      <c r="AN197" s="41"/>
      <c r="AO197" s="41"/>
      <c r="AP197" s="40"/>
      <c r="AQ197" s="40"/>
      <c r="AU197" s="41"/>
      <c r="AV197" s="41"/>
    </row>
    <row r="198" spans="1:48">
      <c r="A198" s="539" t="s">
        <v>858</v>
      </c>
      <c r="B198" s="91">
        <f>MATCH(A198,Заслонки!B$6:B$1986,0)</f>
        <v>33</v>
      </c>
      <c r="C198" s="92" t="str">
        <f ca="1">OFFSET(Заслонки!B$6,B198-1,0)</f>
        <v>Заслонка воздушная LV-BDTM 500x300-W E16</v>
      </c>
      <c r="D198" s="92" t="str">
        <f ca="1">RIGHT(C198,LEN(C198)+1-SEARCH("LV-",C198,1))</f>
        <v>LV-BDTM 500x300-W E16</v>
      </c>
      <c r="E198" s="487">
        <f ca="1">OFFSET(Заслонки!C$6,B198-1,0)</f>
        <v>15415</v>
      </c>
      <c r="F198" s="146" t="s">
        <v>591</v>
      </c>
      <c r="G198" s="93" t="e">
        <f t="shared" si="31"/>
        <v>#REF!</v>
      </c>
      <c r="H198" s="94" t="e">
        <f t="shared" si="32"/>
        <v>#REF!</v>
      </c>
      <c r="I198" s="519" t="e">
        <f t="shared" si="33"/>
        <v>#REF!</v>
      </c>
      <c r="J198" s="96">
        <v>500</v>
      </c>
      <c r="K198" s="96">
        <v>300</v>
      </c>
      <c r="L198" s="91" t="str">
        <f t="shared" si="34"/>
        <v>500x300</v>
      </c>
      <c r="M198" s="97">
        <f>IF(K198&gt;1,J198*K198,PI()*J198^2/4)/1000000</f>
        <v>0.15</v>
      </c>
      <c r="N198" s="98">
        <v>120</v>
      </c>
      <c r="O198" s="99">
        <v>8</v>
      </c>
      <c r="P198" s="96" t="s">
        <v>130</v>
      </c>
      <c r="Q198" s="96"/>
      <c r="R198" s="96"/>
      <c r="S198" s="96"/>
      <c r="T198" s="96"/>
      <c r="U198" s="96"/>
      <c r="V198" s="96"/>
      <c r="W198" s="96">
        <v>1620</v>
      </c>
      <c r="X198" s="96">
        <v>2700</v>
      </c>
      <c r="Y198" s="96">
        <v>3</v>
      </c>
      <c r="Z198" s="96">
        <v>6</v>
      </c>
      <c r="AA198" s="96"/>
      <c r="AB198" s="96"/>
      <c r="AC198" s="96"/>
      <c r="AD198" s="91">
        <f t="shared" si="36"/>
        <v>3.4293552812071326E-7</v>
      </c>
      <c r="AE198" s="91">
        <f t="shared" si="37"/>
        <v>1.2962962962962965E-3</v>
      </c>
      <c r="AF198" s="68"/>
      <c r="AI198" s="41"/>
      <c r="AJ198" s="41"/>
      <c r="AM198" s="41"/>
      <c r="AN198" s="41"/>
      <c r="AO198" s="41"/>
      <c r="AP198" s="40"/>
      <c r="AQ198" s="40"/>
      <c r="AU198" s="41"/>
      <c r="AV198" s="41"/>
    </row>
    <row r="199" spans="1:48">
      <c r="A199" s="537" t="s">
        <v>859</v>
      </c>
      <c r="B199" s="81">
        <f>MATCH(A199,Заслонки!B$6:B$1986,0)</f>
        <v>24</v>
      </c>
      <c r="C199" s="82" t="str">
        <f ca="1">OFFSET(Заслонки!B$6,B199-1,0)</f>
        <v>Заслонка воздушная LV-BDTM 600x300 E16</v>
      </c>
      <c r="D199" s="82" t="str">
        <f t="shared" ca="1" si="30"/>
        <v>LV-BDTM 600x300 E16</v>
      </c>
      <c r="E199" s="488">
        <f ca="1">OFFSET(Заслонки!C$6,B199-1,0)</f>
        <v>6833</v>
      </c>
      <c r="F199" s="145" t="s">
        <v>591</v>
      </c>
      <c r="G199" s="83" t="e">
        <f t="shared" si="31"/>
        <v>#REF!</v>
      </c>
      <c r="H199" s="84" t="e">
        <f t="shared" si="32"/>
        <v>#REF!</v>
      </c>
      <c r="I199" s="518" t="e">
        <f t="shared" si="33"/>
        <v>#REF!</v>
      </c>
      <c r="J199" s="86">
        <v>600</v>
      </c>
      <c r="K199" s="86">
        <v>300</v>
      </c>
      <c r="L199" s="81" t="str">
        <f t="shared" si="34"/>
        <v>600x300</v>
      </c>
      <c r="M199" s="87">
        <f t="shared" si="35"/>
        <v>0.18</v>
      </c>
      <c r="N199" s="88">
        <v>120</v>
      </c>
      <c r="O199" s="89">
        <v>8</v>
      </c>
      <c r="P199" s="86" t="s">
        <v>48</v>
      </c>
      <c r="Q199" s="86"/>
      <c r="R199" s="86"/>
      <c r="S199" s="86"/>
      <c r="T199" s="86"/>
      <c r="U199" s="86"/>
      <c r="V199" s="86"/>
      <c r="W199" s="86">
        <v>1944</v>
      </c>
      <c r="X199" s="86">
        <v>3240</v>
      </c>
      <c r="Y199" s="86">
        <v>3</v>
      </c>
      <c r="Z199" s="86">
        <v>6</v>
      </c>
      <c r="AA199" s="86"/>
      <c r="AB199" s="86"/>
      <c r="AC199" s="86"/>
      <c r="AD199" s="81">
        <f t="shared" si="36"/>
        <v>2.3814967230605103E-7</v>
      </c>
      <c r="AE199" s="81">
        <f t="shared" si="37"/>
        <v>1.0802469135802466E-3</v>
      </c>
      <c r="AF199" s="52"/>
      <c r="AI199" s="41"/>
      <c r="AJ199" s="41"/>
      <c r="AM199" s="41"/>
      <c r="AN199" s="41"/>
      <c r="AO199" s="41"/>
      <c r="AP199" s="40"/>
      <c r="AQ199" s="40"/>
      <c r="AU199" s="41"/>
      <c r="AV199" s="41"/>
    </row>
    <row r="200" spans="1:48">
      <c r="A200" s="539" t="s">
        <v>860</v>
      </c>
      <c r="B200" s="91">
        <f>MATCH(A200,Заслонки!B$6:B$1986,0)</f>
        <v>34</v>
      </c>
      <c r="C200" s="92" t="str">
        <f ca="1">OFFSET(Заслонки!B$6,B200-1,0)</f>
        <v>Заслонка воздушная LV-BDTM 600x300-W E16</v>
      </c>
      <c r="D200" s="92" t="str">
        <f ca="1">RIGHT(C200,LEN(C200)+1-SEARCH("LV-",C200,1))</f>
        <v>LV-BDTM 600x300-W E16</v>
      </c>
      <c r="E200" s="487">
        <f ca="1">OFFSET(Заслонки!C$6,B200-1,0)</f>
        <v>17130</v>
      </c>
      <c r="F200" s="146" t="s">
        <v>591</v>
      </c>
      <c r="G200" s="93" t="e">
        <f t="shared" si="31"/>
        <v>#REF!</v>
      </c>
      <c r="H200" s="94" t="e">
        <f t="shared" si="32"/>
        <v>#REF!</v>
      </c>
      <c r="I200" s="519" t="e">
        <f t="shared" si="33"/>
        <v>#REF!</v>
      </c>
      <c r="J200" s="96">
        <v>600</v>
      </c>
      <c r="K200" s="96">
        <v>300</v>
      </c>
      <c r="L200" s="91" t="str">
        <f t="shared" si="34"/>
        <v>600x300</v>
      </c>
      <c r="M200" s="97">
        <f>IF(K200&gt;1,J200*K200,PI()*J200^2/4)/1000000</f>
        <v>0.18</v>
      </c>
      <c r="N200" s="98">
        <v>120</v>
      </c>
      <c r="O200" s="99">
        <v>9</v>
      </c>
      <c r="P200" s="96" t="s">
        <v>130</v>
      </c>
      <c r="Q200" s="96"/>
      <c r="R200" s="96"/>
      <c r="S200" s="96"/>
      <c r="T200" s="96"/>
      <c r="U200" s="96"/>
      <c r="V200" s="96"/>
      <c r="W200" s="96">
        <v>1944</v>
      </c>
      <c r="X200" s="96">
        <v>3240</v>
      </c>
      <c r="Y200" s="96">
        <v>3</v>
      </c>
      <c r="Z200" s="96">
        <v>6</v>
      </c>
      <c r="AA200" s="96"/>
      <c r="AB200" s="96"/>
      <c r="AC200" s="96"/>
      <c r="AD200" s="91">
        <f t="shared" si="36"/>
        <v>2.3814967230605103E-7</v>
      </c>
      <c r="AE200" s="91">
        <f t="shared" si="37"/>
        <v>1.0802469135802466E-3</v>
      </c>
      <c r="AF200" s="68"/>
      <c r="AI200" s="41"/>
      <c r="AJ200" s="41"/>
      <c r="AM200" s="41"/>
      <c r="AN200" s="41"/>
      <c r="AO200" s="41"/>
      <c r="AP200" s="40"/>
      <c r="AQ200" s="40"/>
      <c r="AU200" s="41"/>
      <c r="AV200" s="41"/>
    </row>
    <row r="201" spans="1:48">
      <c r="A201" s="537" t="s">
        <v>861</v>
      </c>
      <c r="B201" s="81">
        <f>MATCH(A201,Заслонки!B$6:B$1986,0)</f>
        <v>25</v>
      </c>
      <c r="C201" s="82" t="str">
        <f ca="1">OFFSET(Заслонки!B$6,B201-1,0)</f>
        <v>Заслонка воздушная LV-BDTM 600x350 E16</v>
      </c>
      <c r="D201" s="82" t="str">
        <f t="shared" ca="1" si="30"/>
        <v>LV-BDTM 600x350 E16</v>
      </c>
      <c r="E201" s="488">
        <f ca="1">OFFSET(Заслонки!C$6,B201-1,0)</f>
        <v>8200</v>
      </c>
      <c r="F201" s="145" t="s">
        <v>591</v>
      </c>
      <c r="G201" s="83" t="e">
        <f t="shared" si="31"/>
        <v>#REF!</v>
      </c>
      <c r="H201" s="84" t="e">
        <f t="shared" si="32"/>
        <v>#REF!</v>
      </c>
      <c r="I201" s="518" t="e">
        <f t="shared" si="33"/>
        <v>#REF!</v>
      </c>
      <c r="J201" s="86">
        <v>600</v>
      </c>
      <c r="K201" s="86">
        <v>350</v>
      </c>
      <c r="L201" s="81" t="str">
        <f t="shared" si="34"/>
        <v>600x350</v>
      </c>
      <c r="M201" s="87">
        <f t="shared" si="35"/>
        <v>0.21</v>
      </c>
      <c r="N201" s="88">
        <v>120</v>
      </c>
      <c r="O201" s="89">
        <v>8</v>
      </c>
      <c r="P201" s="86" t="s">
        <v>48</v>
      </c>
      <c r="Q201" s="86"/>
      <c r="R201" s="86"/>
      <c r="S201" s="86"/>
      <c r="T201" s="86"/>
      <c r="U201" s="86"/>
      <c r="V201" s="86"/>
      <c r="W201" s="86">
        <v>2268</v>
      </c>
      <c r="X201" s="86">
        <v>3780</v>
      </c>
      <c r="Y201" s="86">
        <v>3</v>
      </c>
      <c r="Z201" s="86">
        <v>6</v>
      </c>
      <c r="AA201" s="86"/>
      <c r="AB201" s="86"/>
      <c r="AC201" s="86"/>
      <c r="AD201" s="81">
        <f t="shared" si="36"/>
        <v>1.7496710618403744E-7</v>
      </c>
      <c r="AE201" s="81">
        <f t="shared" si="37"/>
        <v>9.2592592592592574E-4</v>
      </c>
      <c r="AF201" s="52"/>
      <c r="AI201" s="41"/>
      <c r="AJ201" s="41"/>
      <c r="AM201" s="41"/>
      <c r="AN201" s="41"/>
      <c r="AO201" s="41"/>
      <c r="AP201" s="40"/>
      <c r="AQ201" s="40"/>
      <c r="AU201" s="41"/>
      <c r="AV201" s="41"/>
    </row>
    <row r="202" spans="1:48">
      <c r="A202" s="539" t="s">
        <v>862</v>
      </c>
      <c r="B202" s="91">
        <f>MATCH(A202,Заслонки!B$6:B$1986,0)</f>
        <v>35</v>
      </c>
      <c r="C202" s="92" t="str">
        <f ca="1">OFFSET(Заслонки!B$6,B202-1,0)</f>
        <v>Заслонка воздушная LV-BDTM 600x350-W E16</v>
      </c>
      <c r="D202" s="92" t="str">
        <f ca="1">RIGHT(C202,LEN(C202)+1-SEARCH("LV-",C202,1))</f>
        <v>LV-BDTM 600x350-W E16</v>
      </c>
      <c r="E202" s="487">
        <f ca="1">OFFSET(Заслонки!C$6,B202-1,0)</f>
        <v>18720</v>
      </c>
      <c r="F202" s="146" t="s">
        <v>591</v>
      </c>
      <c r="G202" s="93" t="e">
        <f t="shared" si="31"/>
        <v>#REF!</v>
      </c>
      <c r="H202" s="94" t="e">
        <f t="shared" si="32"/>
        <v>#REF!</v>
      </c>
      <c r="I202" s="519" t="e">
        <f t="shared" si="33"/>
        <v>#REF!</v>
      </c>
      <c r="J202" s="96">
        <v>600</v>
      </c>
      <c r="K202" s="96">
        <v>350</v>
      </c>
      <c r="L202" s="91" t="str">
        <f t="shared" si="34"/>
        <v>600x350</v>
      </c>
      <c r="M202" s="97">
        <f>IF(K202&gt;1,J202*K202,PI()*J202^2/4)/1000000</f>
        <v>0.21</v>
      </c>
      <c r="N202" s="98">
        <v>120</v>
      </c>
      <c r="O202" s="99">
        <v>9</v>
      </c>
      <c r="P202" s="96" t="s">
        <v>130</v>
      </c>
      <c r="Q202" s="96"/>
      <c r="R202" s="96"/>
      <c r="S202" s="96"/>
      <c r="T202" s="96"/>
      <c r="U202" s="96"/>
      <c r="V202" s="96"/>
      <c r="W202" s="96">
        <v>2268</v>
      </c>
      <c r="X202" s="96">
        <v>3780</v>
      </c>
      <c r="Y202" s="96">
        <v>3</v>
      </c>
      <c r="Z202" s="96">
        <v>6</v>
      </c>
      <c r="AA202" s="96"/>
      <c r="AB202" s="96"/>
      <c r="AC202" s="96"/>
      <c r="AD202" s="91">
        <f t="shared" si="36"/>
        <v>1.7496710618403744E-7</v>
      </c>
      <c r="AE202" s="91">
        <f t="shared" si="37"/>
        <v>9.2592592592592574E-4</v>
      </c>
      <c r="AF202" s="68"/>
      <c r="AI202" s="41"/>
      <c r="AJ202" s="41"/>
      <c r="AM202" s="41"/>
      <c r="AN202" s="41"/>
      <c r="AO202" s="41"/>
      <c r="AP202" s="40"/>
      <c r="AQ202" s="40"/>
      <c r="AU202" s="41"/>
      <c r="AV202" s="41"/>
    </row>
    <row r="203" spans="1:48">
      <c r="A203" s="537" t="s">
        <v>863</v>
      </c>
      <c r="B203" s="81">
        <f>MATCH(A203,Заслонки!B$6:B$1986,0)</f>
        <v>26</v>
      </c>
      <c r="C203" s="82" t="str">
        <f ca="1">OFFSET(Заслонки!B$6,B203-1,0)</f>
        <v>Заслонка воздушная LV-BDTM 700x400 E16</v>
      </c>
      <c r="D203" s="82" t="str">
        <f t="shared" ca="1" si="30"/>
        <v>LV-BDTM 700x400 E16</v>
      </c>
      <c r="E203" s="488">
        <f ca="1">OFFSET(Заслонки!C$6,B203-1,0)</f>
        <v>9451</v>
      </c>
      <c r="F203" s="145" t="s">
        <v>591</v>
      </c>
      <c r="G203" s="83" t="e">
        <f t="shared" si="31"/>
        <v>#REF!</v>
      </c>
      <c r="H203" s="84" t="e">
        <f t="shared" si="32"/>
        <v>#REF!</v>
      </c>
      <c r="I203" s="518" t="e">
        <f t="shared" si="33"/>
        <v>#REF!</v>
      </c>
      <c r="J203" s="86">
        <v>700</v>
      </c>
      <c r="K203" s="86">
        <v>400</v>
      </c>
      <c r="L203" s="81" t="str">
        <f t="shared" si="34"/>
        <v>700x400</v>
      </c>
      <c r="M203" s="87">
        <f t="shared" si="35"/>
        <v>0.28000000000000003</v>
      </c>
      <c r="N203" s="88">
        <v>120</v>
      </c>
      <c r="O203" s="89">
        <v>10</v>
      </c>
      <c r="P203" s="86" t="s">
        <v>48</v>
      </c>
      <c r="Q203" s="86"/>
      <c r="R203" s="86"/>
      <c r="S203" s="86"/>
      <c r="T203" s="86"/>
      <c r="U203" s="86"/>
      <c r="V203" s="86"/>
      <c r="W203" s="86">
        <v>3024</v>
      </c>
      <c r="X203" s="86">
        <v>5040</v>
      </c>
      <c r="Y203" s="86">
        <v>3</v>
      </c>
      <c r="Z203" s="86">
        <v>6</v>
      </c>
      <c r="AA203" s="86"/>
      <c r="AB203" s="86"/>
      <c r="AC203" s="86"/>
      <c r="AD203" s="81">
        <f t="shared" si="36"/>
        <v>9.8418997228521117E-8</v>
      </c>
      <c r="AE203" s="81">
        <f t="shared" si="37"/>
        <v>6.9444444444444415E-4</v>
      </c>
      <c r="AF203" s="52"/>
      <c r="AI203" s="41"/>
      <c r="AJ203" s="41"/>
      <c r="AM203" s="41"/>
      <c r="AN203" s="41"/>
      <c r="AO203" s="41"/>
      <c r="AP203" s="40"/>
      <c r="AQ203" s="40"/>
      <c r="AU203" s="41"/>
      <c r="AV203" s="41"/>
    </row>
    <row r="204" spans="1:48">
      <c r="A204" s="539" t="s">
        <v>864</v>
      </c>
      <c r="B204" s="91">
        <f>MATCH(A204,Заслонки!B$6:B$1986,0)</f>
        <v>36</v>
      </c>
      <c r="C204" s="92" t="str">
        <f ca="1">OFFSET(Заслонки!B$6,B204-1,0)</f>
        <v>Заслонка воздушная LV-BDTM 700x400-W E16</v>
      </c>
      <c r="D204" s="92" t="str">
        <f ca="1">RIGHT(C204,LEN(C204)+1-SEARCH("LV-",C204,1))</f>
        <v>LV-BDTM 700x400-W E16</v>
      </c>
      <c r="E204" s="487">
        <f ca="1">OFFSET(Заслонки!C$6,B204-1,0)</f>
        <v>21288</v>
      </c>
      <c r="F204" s="146" t="s">
        <v>591</v>
      </c>
      <c r="G204" s="93" t="e">
        <f t="shared" si="31"/>
        <v>#REF!</v>
      </c>
      <c r="H204" s="94" t="e">
        <f t="shared" si="32"/>
        <v>#REF!</v>
      </c>
      <c r="I204" s="519" t="e">
        <f t="shared" si="33"/>
        <v>#REF!</v>
      </c>
      <c r="J204" s="96">
        <v>700</v>
      </c>
      <c r="K204" s="96">
        <v>400</v>
      </c>
      <c r="L204" s="91" t="str">
        <f t="shared" si="34"/>
        <v>700x400</v>
      </c>
      <c r="M204" s="97">
        <f>IF(K204&gt;1,J204*K204,PI()*J204^2/4)/1000000</f>
        <v>0.28000000000000003</v>
      </c>
      <c r="N204" s="98">
        <v>120</v>
      </c>
      <c r="O204" s="99">
        <v>12</v>
      </c>
      <c r="P204" s="96" t="s">
        <v>130</v>
      </c>
      <c r="Q204" s="96"/>
      <c r="R204" s="96"/>
      <c r="S204" s="96"/>
      <c r="T204" s="96"/>
      <c r="U204" s="96"/>
      <c r="V204" s="96"/>
      <c r="W204" s="96">
        <v>3024</v>
      </c>
      <c r="X204" s="96">
        <v>5040</v>
      </c>
      <c r="Y204" s="96">
        <v>3</v>
      </c>
      <c r="Z204" s="96">
        <v>6</v>
      </c>
      <c r="AA204" s="96"/>
      <c r="AB204" s="96"/>
      <c r="AC204" s="96"/>
      <c r="AD204" s="91">
        <f t="shared" si="36"/>
        <v>9.8418997228521117E-8</v>
      </c>
      <c r="AE204" s="91">
        <f t="shared" si="37"/>
        <v>6.9444444444444415E-4</v>
      </c>
      <c r="AF204" s="68"/>
      <c r="AI204" s="41"/>
      <c r="AJ204" s="41"/>
      <c r="AM204" s="41"/>
      <c r="AN204" s="41"/>
      <c r="AO204" s="41"/>
      <c r="AP204" s="40"/>
      <c r="AQ204" s="40"/>
      <c r="AU204" s="41"/>
      <c r="AV204" s="41"/>
    </row>
    <row r="205" spans="1:48">
      <c r="A205" s="537" t="s">
        <v>865</v>
      </c>
      <c r="B205" s="81">
        <f>MATCH(A205,Заслонки!B$6:B$1986,0)</f>
        <v>27</v>
      </c>
      <c r="C205" s="82" t="str">
        <f ca="1">OFFSET(Заслонки!B$6,B205-1,0)</f>
        <v>Заслонка воздушная LV-BDTM 800x500 E16</v>
      </c>
      <c r="D205" s="82" t="str">
        <f t="shared" ca="1" si="30"/>
        <v>LV-BDTM 800x500 E16</v>
      </c>
      <c r="E205" s="488">
        <f ca="1">OFFSET(Заслонки!C$6,B205-1,0)</f>
        <v>12522</v>
      </c>
      <c r="F205" s="145" t="s">
        <v>591</v>
      </c>
      <c r="G205" s="83" t="e">
        <f t="shared" si="31"/>
        <v>#REF!</v>
      </c>
      <c r="H205" s="84" t="e">
        <f t="shared" si="32"/>
        <v>#REF!</v>
      </c>
      <c r="I205" s="518" t="e">
        <f t="shared" si="33"/>
        <v>#REF!</v>
      </c>
      <c r="J205" s="86">
        <v>800</v>
      </c>
      <c r="K205" s="86">
        <v>500</v>
      </c>
      <c r="L205" s="81" t="str">
        <f t="shared" si="34"/>
        <v>800x500</v>
      </c>
      <c r="M205" s="87">
        <f t="shared" si="35"/>
        <v>0.4</v>
      </c>
      <c r="N205" s="88">
        <v>120</v>
      </c>
      <c r="O205" s="89">
        <v>12</v>
      </c>
      <c r="P205" s="86" t="s">
        <v>48</v>
      </c>
      <c r="Q205" s="86"/>
      <c r="R205" s="86"/>
      <c r="S205" s="86"/>
      <c r="T205" s="86"/>
      <c r="U205" s="86"/>
      <c r="V205" s="86"/>
      <c r="W205" s="86">
        <v>4320</v>
      </c>
      <c r="X205" s="86">
        <v>7200</v>
      </c>
      <c r="Y205" s="86">
        <v>3</v>
      </c>
      <c r="Z205" s="86">
        <v>6</v>
      </c>
      <c r="AA205" s="86"/>
      <c r="AB205" s="86"/>
      <c r="AC205" s="86"/>
      <c r="AD205" s="81">
        <f t="shared" si="36"/>
        <v>4.8225308641975319E-8</v>
      </c>
      <c r="AE205" s="81">
        <f t="shared" si="37"/>
        <v>4.861111111111111E-4</v>
      </c>
      <c r="AF205" s="52"/>
      <c r="AI205" s="41"/>
      <c r="AJ205" s="41"/>
      <c r="AM205" s="41"/>
      <c r="AN205" s="41"/>
      <c r="AO205" s="41"/>
      <c r="AP205" s="40"/>
      <c r="AQ205" s="40"/>
      <c r="AU205" s="41"/>
      <c r="AV205" s="41"/>
    </row>
    <row r="206" spans="1:48">
      <c r="A206" s="539" t="s">
        <v>866</v>
      </c>
      <c r="B206" s="91">
        <f>MATCH(A206,Заслонки!B$6:B$1986,0)</f>
        <v>37</v>
      </c>
      <c r="C206" s="92" t="str">
        <f ca="1">OFFSET(Заслонки!B$6,B206-1,0)</f>
        <v>Заслонка воздушная LV-BDTM 800x500-W E16</v>
      </c>
      <c r="D206" s="92" t="str">
        <f ca="1">RIGHT(C206,LEN(C206)+1-SEARCH("LV-",C206,1))</f>
        <v>LV-BDTM 800x500-W E16</v>
      </c>
      <c r="E206" s="487">
        <f ca="1">OFFSET(Заслонки!C$6,B206-1,0)</f>
        <v>25811</v>
      </c>
      <c r="F206" s="146" t="s">
        <v>591</v>
      </c>
      <c r="G206" s="93" t="e">
        <f t="shared" si="31"/>
        <v>#REF!</v>
      </c>
      <c r="H206" s="94" t="e">
        <f t="shared" si="32"/>
        <v>#REF!</v>
      </c>
      <c r="I206" s="519" t="e">
        <f t="shared" si="33"/>
        <v>#REF!</v>
      </c>
      <c r="J206" s="96">
        <v>800</v>
      </c>
      <c r="K206" s="96">
        <v>500</v>
      </c>
      <c r="L206" s="91" t="str">
        <f t="shared" si="34"/>
        <v>800x500</v>
      </c>
      <c r="M206" s="97">
        <f>IF(K206&gt;1,J206*K206,PI()*J206^2/4)/1000000</f>
        <v>0.4</v>
      </c>
      <c r="N206" s="98">
        <v>120</v>
      </c>
      <c r="O206" s="99">
        <v>14</v>
      </c>
      <c r="P206" s="96" t="s">
        <v>130</v>
      </c>
      <c r="Q206" s="96"/>
      <c r="R206" s="96"/>
      <c r="S206" s="96"/>
      <c r="T206" s="96"/>
      <c r="U206" s="96"/>
      <c r="V206" s="96"/>
      <c r="W206" s="96">
        <v>4320</v>
      </c>
      <c r="X206" s="96">
        <v>7200</v>
      </c>
      <c r="Y206" s="96">
        <v>3</v>
      </c>
      <c r="Z206" s="96">
        <v>6</v>
      </c>
      <c r="AA206" s="96"/>
      <c r="AB206" s="96"/>
      <c r="AC206" s="96"/>
      <c r="AD206" s="91">
        <f t="shared" si="36"/>
        <v>4.8225308641975319E-8</v>
      </c>
      <c r="AE206" s="91">
        <f t="shared" si="37"/>
        <v>4.861111111111111E-4</v>
      </c>
      <c r="AF206" s="68"/>
      <c r="AI206" s="41"/>
      <c r="AJ206" s="41"/>
      <c r="AM206" s="41"/>
      <c r="AN206" s="41"/>
      <c r="AO206" s="41"/>
      <c r="AP206" s="40"/>
      <c r="AQ206" s="40"/>
      <c r="AU206" s="41"/>
      <c r="AV206" s="41"/>
    </row>
    <row r="207" spans="1:48">
      <c r="A207" s="537" t="s">
        <v>867</v>
      </c>
      <c r="B207" s="81">
        <f>MATCH(A207,Заслонки!B$6:B$1986,0)</f>
        <v>28</v>
      </c>
      <c r="C207" s="82" t="str">
        <f ca="1">OFFSET(Заслонки!B$6,B207-1,0)</f>
        <v>Заслонка воздушная LV-BDTM 900x500 E16</v>
      </c>
      <c r="D207" s="82" t="str">
        <f t="shared" ca="1" si="30"/>
        <v>LV-BDTM 900x500 E16</v>
      </c>
      <c r="E207" s="488">
        <f ca="1">OFFSET(Заслонки!C$6,B207-1,0)</f>
        <v>15024</v>
      </c>
      <c r="F207" s="145" t="s">
        <v>591</v>
      </c>
      <c r="G207" s="83" t="e">
        <f t="shared" si="31"/>
        <v>#REF!</v>
      </c>
      <c r="H207" s="84" t="e">
        <f t="shared" si="32"/>
        <v>#REF!</v>
      </c>
      <c r="I207" s="518" t="e">
        <f t="shared" si="33"/>
        <v>#REF!</v>
      </c>
      <c r="J207" s="86">
        <v>900</v>
      </c>
      <c r="K207" s="86">
        <v>500</v>
      </c>
      <c r="L207" s="81" t="str">
        <f t="shared" si="34"/>
        <v>900x500</v>
      </c>
      <c r="M207" s="87">
        <f t="shared" si="35"/>
        <v>0.45</v>
      </c>
      <c r="N207" s="88">
        <v>120</v>
      </c>
      <c r="O207" s="89">
        <v>17</v>
      </c>
      <c r="P207" s="86" t="s">
        <v>48</v>
      </c>
      <c r="Q207" s="86"/>
      <c r="R207" s="86"/>
      <c r="S207" s="86"/>
      <c r="T207" s="86"/>
      <c r="U207" s="86"/>
      <c r="V207" s="86"/>
      <c r="W207" s="86">
        <v>4860</v>
      </c>
      <c r="X207" s="86">
        <v>8100</v>
      </c>
      <c r="Y207" s="86">
        <v>3</v>
      </c>
      <c r="Z207" s="86">
        <v>6</v>
      </c>
      <c r="AA207" s="86"/>
      <c r="AB207" s="86"/>
      <c r="AC207" s="86"/>
      <c r="AD207" s="81">
        <f t="shared" si="36"/>
        <v>3.8103947568968139E-8</v>
      </c>
      <c r="AE207" s="81">
        <f t="shared" si="37"/>
        <v>4.3209876543209879E-4</v>
      </c>
      <c r="AF207" s="52"/>
      <c r="AI207" s="41"/>
      <c r="AJ207" s="41"/>
      <c r="AM207" s="41"/>
      <c r="AN207" s="41"/>
      <c r="AO207" s="41"/>
      <c r="AP207" s="40"/>
      <c r="AQ207" s="40"/>
      <c r="AU207" s="41"/>
      <c r="AV207" s="41"/>
    </row>
    <row r="208" spans="1:48">
      <c r="A208" s="539" t="s">
        <v>868</v>
      </c>
      <c r="B208" s="91">
        <f>MATCH(A208,Заслонки!B$6:B$1986,0)</f>
        <v>38</v>
      </c>
      <c r="C208" s="92" t="str">
        <f ca="1">OFFSET(Заслонки!B$6,B208-1,0)</f>
        <v>Заслонка воздушная LV-BDTM 900x500-W E16</v>
      </c>
      <c r="D208" s="92" t="str">
        <f ca="1">RIGHT(C208,LEN(C208)+1-SEARCH("LV-",C208,1))</f>
        <v>LV-BDTM 900x500-W E16</v>
      </c>
      <c r="E208" s="487">
        <f ca="1">OFFSET(Заслонки!C$6,B208-1,0)</f>
        <v>27892</v>
      </c>
      <c r="F208" s="146" t="s">
        <v>591</v>
      </c>
      <c r="G208" s="93" t="e">
        <f t="shared" si="31"/>
        <v>#REF!</v>
      </c>
      <c r="H208" s="94" t="e">
        <f t="shared" si="32"/>
        <v>#REF!</v>
      </c>
      <c r="I208" s="519" t="e">
        <f t="shared" si="33"/>
        <v>#REF!</v>
      </c>
      <c r="J208" s="96">
        <v>900</v>
      </c>
      <c r="K208" s="96">
        <v>500</v>
      </c>
      <c r="L208" s="91" t="str">
        <f t="shared" si="34"/>
        <v>900x500</v>
      </c>
      <c r="M208" s="97">
        <f>IF(K208&gt;1,J208*K208,PI()*J208^2/4)/1000000</f>
        <v>0.45</v>
      </c>
      <c r="N208" s="98">
        <v>120</v>
      </c>
      <c r="O208" s="99">
        <v>19</v>
      </c>
      <c r="P208" s="96" t="s">
        <v>130</v>
      </c>
      <c r="Q208" s="96"/>
      <c r="R208" s="96"/>
      <c r="S208" s="96"/>
      <c r="T208" s="96"/>
      <c r="U208" s="96"/>
      <c r="V208" s="96"/>
      <c r="W208" s="96">
        <v>4860</v>
      </c>
      <c r="X208" s="96">
        <v>8100</v>
      </c>
      <c r="Y208" s="96">
        <v>3</v>
      </c>
      <c r="Z208" s="96">
        <v>6</v>
      </c>
      <c r="AA208" s="96"/>
      <c r="AB208" s="96"/>
      <c r="AC208" s="96"/>
      <c r="AD208" s="91">
        <f t="shared" si="36"/>
        <v>3.8103947568968139E-8</v>
      </c>
      <c r="AE208" s="91">
        <f t="shared" si="37"/>
        <v>4.3209876543209879E-4</v>
      </c>
      <c r="AF208" s="68"/>
      <c r="AI208" s="41"/>
      <c r="AJ208" s="41"/>
      <c r="AM208" s="41"/>
      <c r="AN208" s="41"/>
      <c r="AO208" s="41"/>
      <c r="AP208" s="40"/>
      <c r="AQ208" s="40"/>
      <c r="AU208" s="41"/>
      <c r="AV208" s="41"/>
    </row>
    <row r="209" spans="1:48">
      <c r="A209" s="537" t="s">
        <v>869</v>
      </c>
      <c r="B209" s="81">
        <f>MATCH(A209,Заслонки!B$6:B$1986,0)</f>
        <v>29</v>
      </c>
      <c r="C209" s="82" t="str">
        <f ca="1">OFFSET(Заслонки!B$6,B209-1,0)</f>
        <v>Заслонка воздушная LV-BDTM 1000x500 E16</v>
      </c>
      <c r="D209" s="82" t="str">
        <f t="shared" ca="1" si="30"/>
        <v>LV-BDTM 1000x500 E16</v>
      </c>
      <c r="E209" s="488">
        <f ca="1">OFFSET(Заслонки!C$6,B209-1,0)</f>
        <v>16504</v>
      </c>
      <c r="F209" s="145" t="s">
        <v>591</v>
      </c>
      <c r="G209" s="83" t="e">
        <f t="shared" si="31"/>
        <v>#REF!</v>
      </c>
      <c r="H209" s="84" t="e">
        <f t="shared" si="32"/>
        <v>#REF!</v>
      </c>
      <c r="I209" s="518" t="e">
        <f t="shared" si="33"/>
        <v>#REF!</v>
      </c>
      <c r="J209" s="86">
        <v>1000</v>
      </c>
      <c r="K209" s="86">
        <v>500</v>
      </c>
      <c r="L209" s="81" t="str">
        <f t="shared" si="34"/>
        <v>1000x500</v>
      </c>
      <c r="M209" s="87">
        <f t="shared" si="35"/>
        <v>0.5</v>
      </c>
      <c r="N209" s="88">
        <v>120</v>
      </c>
      <c r="O209" s="89">
        <v>21</v>
      </c>
      <c r="P209" s="86" t="s">
        <v>48</v>
      </c>
      <c r="Q209" s="86"/>
      <c r="R209" s="86"/>
      <c r="S209" s="86"/>
      <c r="T209" s="86"/>
      <c r="U209" s="86"/>
      <c r="V209" s="86"/>
      <c r="W209" s="86">
        <v>5400</v>
      </c>
      <c r="X209" s="86">
        <v>9000</v>
      </c>
      <c r="Y209" s="86">
        <v>3</v>
      </c>
      <c r="Z209" s="86">
        <v>6</v>
      </c>
      <c r="AA209" s="86"/>
      <c r="AB209" s="86"/>
      <c r="AC209" s="86"/>
      <c r="AD209" s="81">
        <f t="shared" si="36"/>
        <v>3.0864197530864193E-8</v>
      </c>
      <c r="AE209" s="81">
        <f t="shared" si="37"/>
        <v>3.8888888888888892E-4</v>
      </c>
      <c r="AF209" s="52"/>
      <c r="AI209" s="41"/>
      <c r="AJ209" s="41"/>
      <c r="AM209" s="41"/>
      <c r="AN209" s="41"/>
      <c r="AO209" s="41"/>
      <c r="AP209" s="40"/>
      <c r="AQ209" s="40"/>
      <c r="AU209" s="41"/>
      <c r="AV209" s="41"/>
    </row>
    <row r="210" spans="1:48">
      <c r="A210" s="539" t="s">
        <v>870</v>
      </c>
      <c r="B210" s="91">
        <f>MATCH(A210,Заслонки!B$6:B$1986,0)</f>
        <v>39</v>
      </c>
      <c r="C210" s="92" t="str">
        <f ca="1">OFFSET(Заслонки!B$6,B210-1,0)</f>
        <v>Заслонка воздушная LV-BDTM 1000x500-W E16</v>
      </c>
      <c r="D210" s="92" t="str">
        <f t="shared" ca="1" si="30"/>
        <v>LV-BDTM 1000x500-W E16</v>
      </c>
      <c r="E210" s="487">
        <f ca="1">OFFSET(Заслонки!C$6,B210-1,0)</f>
        <v>30213</v>
      </c>
      <c r="F210" s="146" t="s">
        <v>591</v>
      </c>
      <c r="G210" s="93" t="e">
        <f t="shared" si="31"/>
        <v>#REF!</v>
      </c>
      <c r="H210" s="94" t="e">
        <f t="shared" si="32"/>
        <v>#REF!</v>
      </c>
      <c r="I210" s="519" t="e">
        <f t="shared" si="33"/>
        <v>#REF!</v>
      </c>
      <c r="J210" s="96">
        <v>1000</v>
      </c>
      <c r="K210" s="96">
        <v>500</v>
      </c>
      <c r="L210" s="91" t="str">
        <f t="shared" si="34"/>
        <v>1000x500</v>
      </c>
      <c r="M210" s="97">
        <f t="shared" si="35"/>
        <v>0.5</v>
      </c>
      <c r="N210" s="98">
        <v>120</v>
      </c>
      <c r="O210" s="99">
        <v>23</v>
      </c>
      <c r="P210" s="96" t="s">
        <v>130</v>
      </c>
      <c r="Q210" s="96"/>
      <c r="R210" s="96"/>
      <c r="S210" s="96"/>
      <c r="T210" s="96"/>
      <c r="U210" s="96"/>
      <c r="V210" s="96"/>
      <c r="W210" s="96">
        <v>5400</v>
      </c>
      <c r="X210" s="96">
        <v>9000</v>
      </c>
      <c r="Y210" s="96">
        <v>3</v>
      </c>
      <c r="Z210" s="96">
        <v>6</v>
      </c>
      <c r="AA210" s="96"/>
      <c r="AB210" s="96"/>
      <c r="AC210" s="96"/>
      <c r="AD210" s="91">
        <f t="shared" si="36"/>
        <v>3.0864197530864193E-8</v>
      </c>
      <c r="AE210" s="91">
        <f t="shared" si="37"/>
        <v>3.8888888888888892E-4</v>
      </c>
      <c r="AF210" s="68"/>
      <c r="AI210" s="41"/>
      <c r="AJ210" s="41"/>
      <c r="AM210" s="41"/>
      <c r="AN210" s="41"/>
      <c r="AO210" s="41"/>
      <c r="AP210" s="40"/>
      <c r="AQ210" s="40"/>
      <c r="AU210" s="41"/>
      <c r="AV210" s="41"/>
    </row>
    <row r="211" spans="1:48">
      <c r="A211" s="76"/>
      <c r="B211" s="77"/>
      <c r="C211" s="78"/>
      <c r="D211" s="78"/>
      <c r="E211" s="78"/>
      <c r="F211" s="78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</row>
    <row r="212" spans="1:48">
      <c r="A212" s="39" t="s">
        <v>131</v>
      </c>
    </row>
    <row r="213" spans="1:48">
      <c r="A213" s="42" t="s">
        <v>60</v>
      </c>
      <c r="B213" s="43" t="s">
        <v>85</v>
      </c>
      <c r="C213" s="43" t="s">
        <v>86</v>
      </c>
      <c r="D213" s="43" t="s">
        <v>87</v>
      </c>
      <c r="E213" s="43" t="s">
        <v>59</v>
      </c>
      <c r="F213" s="43" t="s">
        <v>595</v>
      </c>
      <c r="G213" s="43" t="s">
        <v>125</v>
      </c>
      <c r="H213" s="43" t="s">
        <v>88</v>
      </c>
      <c r="I213" s="43" t="s">
        <v>310</v>
      </c>
      <c r="J213" s="43" t="s">
        <v>92</v>
      </c>
      <c r="K213" s="43" t="s">
        <v>93</v>
      </c>
      <c r="L213" s="43" t="s">
        <v>94</v>
      </c>
      <c r="M213" s="43" t="s">
        <v>126</v>
      </c>
      <c r="N213" s="43" t="s">
        <v>95</v>
      </c>
      <c r="O213" s="43" t="s">
        <v>96</v>
      </c>
      <c r="P213" s="43" t="s">
        <v>127</v>
      </c>
      <c r="Q213" s="43" t="s">
        <v>219</v>
      </c>
      <c r="R213" s="270"/>
      <c r="S213" s="270"/>
      <c r="T213" s="270"/>
      <c r="U213" s="270"/>
      <c r="V213" s="270"/>
      <c r="W213" s="43" t="s">
        <v>102</v>
      </c>
      <c r="X213" s="43" t="s">
        <v>103</v>
      </c>
      <c r="Y213" s="43" t="s">
        <v>109</v>
      </c>
      <c r="Z213" s="43" t="s">
        <v>110</v>
      </c>
      <c r="AA213" s="43" t="s">
        <v>128</v>
      </c>
      <c r="AB213" s="43" t="s">
        <v>129</v>
      </c>
      <c r="AH213" s="40"/>
      <c r="AJ213" s="41"/>
      <c r="AK213" s="41"/>
      <c r="AL213" s="41"/>
      <c r="AP213" s="40"/>
      <c r="AQ213" s="40"/>
      <c r="AR213" s="41"/>
      <c r="AS213" s="41"/>
    </row>
    <row r="214" spans="1:48">
      <c r="A214" s="537" t="s">
        <v>1032</v>
      </c>
      <c r="B214" s="81">
        <f>MATCH(A214,Фильтры!B$7:B$1941,0)</f>
        <v>5</v>
      </c>
      <c r="C214" s="82" t="e">
        <f ca="1">OFFSET(Фильтры!#REF!,B214-1,0)</f>
        <v>#REF!</v>
      </c>
      <c r="D214" s="82" t="e">
        <f t="shared" ref="D214:D232" ca="1" si="38">RIGHT(C214,LEN(C214)+1-SEARCH("LV-",C214,1))</f>
        <v>#REF!</v>
      </c>
      <c r="E214" s="486" t="e">
        <f ca="1">OFFSET(Фильтры!#REF!,B214-1,0)</f>
        <v>#REF!</v>
      </c>
      <c r="F214" s="145" t="s">
        <v>591</v>
      </c>
      <c r="G214" s="83" t="e">
        <f t="shared" ref="G214:G249" si="39">Задача_Расход/$M214/3600</f>
        <v>#REF!</v>
      </c>
      <c r="H214" s="84" t="e">
        <f t="shared" ref="H214:H249" si="40">Задача_Расход*(Задача_Расход*AA214+AB214)</f>
        <v>#REF!</v>
      </c>
      <c r="I214" s="518" t="e">
        <f t="shared" ref="I214:I249" si="41">CONCATENATE($L214,"=",AND($P214=Задача_ФильтрТип,G214&lt;=СкоростьMAX_Фильтр,G214&gt;=СкоростьMIN_Фильтр))</f>
        <v>#REF!</v>
      </c>
      <c r="J214" s="85">
        <v>100</v>
      </c>
      <c r="K214" s="86"/>
      <c r="L214" s="81" t="str">
        <f t="shared" ref="L214:L249" si="42">IF(K214&gt;0,IF(J214&gt;0,CONCATENATE(J214,"x",K214),K214),CONCATENATE("Ø",J214))</f>
        <v>Ø100</v>
      </c>
      <c r="M214" s="87">
        <f t="shared" ref="M214:M249" si="43">IF(K214&gt;1,J214*K214,PI()*J214^2/4)/1000000</f>
        <v>7.8539816339744835E-3</v>
      </c>
      <c r="N214" s="88">
        <v>200</v>
      </c>
      <c r="O214" s="89">
        <v>1.3</v>
      </c>
      <c r="P214" s="86" t="s">
        <v>500</v>
      </c>
      <c r="Q214" s="86"/>
      <c r="R214" s="86"/>
      <c r="S214" s="86"/>
      <c r="T214" s="86"/>
      <c r="U214" s="86"/>
      <c r="V214" s="86"/>
      <c r="W214" s="86">
        <v>99</v>
      </c>
      <c r="X214" s="86">
        <v>170</v>
      </c>
      <c r="Y214" s="86">
        <v>20</v>
      </c>
      <c r="Z214" s="86">
        <v>40</v>
      </c>
      <c r="AA214" s="81">
        <f>(Y214/W214-Z214/X214)/(W214-X214)</f>
        <v>4.6864669896981413E-4</v>
      </c>
      <c r="AB214" s="52">
        <f>Y214/W214-AA214*W214</f>
        <v>0.15562417882219043</v>
      </c>
      <c r="AH214" s="40"/>
      <c r="AJ214" s="41"/>
      <c r="AK214" s="41"/>
      <c r="AL214" s="41"/>
      <c r="AP214" s="40"/>
      <c r="AQ214" s="40"/>
      <c r="AR214" s="41"/>
      <c r="AS214" s="41"/>
    </row>
    <row r="215" spans="1:48">
      <c r="A215" s="538" t="s">
        <v>1033</v>
      </c>
      <c r="B215" s="77" t="e">
        <f>MATCH(A215,Фильтры!B$7:B$1941,0)</f>
        <v>#N/A</v>
      </c>
      <c r="C215" s="78" t="e">
        <f ca="1">OFFSET(Фильтры!#REF!,B215-1,0)</f>
        <v>#REF!</v>
      </c>
      <c r="D215" s="78" t="e">
        <f t="shared" ca="1" si="38"/>
        <v>#REF!</v>
      </c>
      <c r="E215" s="489" t="e">
        <f ca="1">OFFSET(Фильтры!#REF!,B215-1,0)</f>
        <v>#REF!</v>
      </c>
      <c r="F215" s="500" t="s">
        <v>591</v>
      </c>
      <c r="G215" s="101" t="e">
        <f t="shared" si="39"/>
        <v>#REF!</v>
      </c>
      <c r="H215" s="102" t="e">
        <f t="shared" si="40"/>
        <v>#REF!</v>
      </c>
      <c r="I215" s="520" t="e">
        <f t="shared" si="41"/>
        <v>#REF!</v>
      </c>
      <c r="J215" s="103">
        <v>100</v>
      </c>
      <c r="K215" s="104"/>
      <c r="L215" s="77" t="str">
        <f t="shared" si="42"/>
        <v>Ø100</v>
      </c>
      <c r="M215" s="105">
        <f t="shared" si="43"/>
        <v>7.8539816339744835E-3</v>
      </c>
      <c r="N215" s="106">
        <v>404</v>
      </c>
      <c r="O215" s="107">
        <v>2.11</v>
      </c>
      <c r="P215" s="104" t="s">
        <v>501</v>
      </c>
      <c r="Q215" s="104"/>
      <c r="R215" s="104"/>
      <c r="S215" s="104"/>
      <c r="T215" s="104"/>
      <c r="U215" s="104"/>
      <c r="V215" s="104"/>
      <c r="W215" s="104">
        <v>200</v>
      </c>
      <c r="X215" s="104">
        <v>300</v>
      </c>
      <c r="Y215" s="104">
        <v>50</v>
      </c>
      <c r="Z215" s="104">
        <v>100</v>
      </c>
      <c r="AA215" s="77">
        <f t="shared" ref="AA215:AA249" si="44">(Y215/W215-Z215/X215)/(W215-X215)</f>
        <v>8.3333333333333317E-4</v>
      </c>
      <c r="AB215" s="62">
        <f t="shared" ref="AB215:AB249" si="45">Y215/W215-AA215*W215</f>
        <v>8.333333333333337E-2</v>
      </c>
      <c r="AH215" s="40"/>
      <c r="AJ215" s="41"/>
      <c r="AK215" s="41"/>
      <c r="AL215" s="41"/>
      <c r="AP215" s="40"/>
      <c r="AQ215" s="40"/>
      <c r="AR215" s="41"/>
      <c r="AS215" s="41"/>
    </row>
    <row r="216" spans="1:48">
      <c r="A216" s="538" t="s">
        <v>1034</v>
      </c>
      <c r="B216" s="77" t="e">
        <f>MATCH(A216,Фильтры!B$7:B$1941,0)</f>
        <v>#N/A</v>
      </c>
      <c r="C216" s="78" t="e">
        <f ca="1">OFFSET(Фильтры!#REF!,B216-1,0)</f>
        <v>#REF!</v>
      </c>
      <c r="D216" s="78" t="e">
        <f t="shared" ca="1" si="38"/>
        <v>#REF!</v>
      </c>
      <c r="E216" s="489" t="e">
        <f ca="1">OFFSET(Фильтры!#REF!,B216-1,0)</f>
        <v>#REF!</v>
      </c>
      <c r="F216" s="500" t="s">
        <v>591</v>
      </c>
      <c r="G216" s="101" t="e">
        <f t="shared" si="39"/>
        <v>#REF!</v>
      </c>
      <c r="H216" s="102" t="e">
        <f t="shared" si="40"/>
        <v>#REF!</v>
      </c>
      <c r="I216" s="520" t="e">
        <f t="shared" si="41"/>
        <v>#REF!</v>
      </c>
      <c r="J216" s="103">
        <v>100</v>
      </c>
      <c r="K216" s="104"/>
      <c r="L216" s="77" t="str">
        <f t="shared" si="42"/>
        <v>Ø100</v>
      </c>
      <c r="M216" s="105">
        <f t="shared" si="43"/>
        <v>7.8539816339744835E-3</v>
      </c>
      <c r="N216" s="106">
        <v>404</v>
      </c>
      <c r="O216" s="107">
        <v>2.11</v>
      </c>
      <c r="P216" s="104" t="s">
        <v>502</v>
      </c>
      <c r="Q216" s="104"/>
      <c r="R216" s="104"/>
      <c r="S216" s="104"/>
      <c r="T216" s="104"/>
      <c r="U216" s="104"/>
      <c r="V216" s="104"/>
      <c r="W216" s="104">
        <v>200</v>
      </c>
      <c r="X216" s="104">
        <v>300</v>
      </c>
      <c r="Y216" s="104">
        <v>50</v>
      </c>
      <c r="Z216" s="104">
        <v>100</v>
      </c>
      <c r="AA216" s="77">
        <f t="shared" si="44"/>
        <v>8.3333333333333317E-4</v>
      </c>
      <c r="AB216" s="62">
        <f t="shared" si="45"/>
        <v>8.333333333333337E-2</v>
      </c>
      <c r="AH216" s="40"/>
      <c r="AJ216" s="41"/>
      <c r="AK216" s="41"/>
      <c r="AL216" s="41"/>
      <c r="AP216" s="40"/>
      <c r="AQ216" s="40"/>
      <c r="AR216" s="41"/>
      <c r="AS216" s="41"/>
    </row>
    <row r="217" spans="1:48">
      <c r="A217" s="537" t="s">
        <v>1035</v>
      </c>
      <c r="B217" s="81">
        <f>MATCH(A217,Фильтры!B$7:B$1941,0)</f>
        <v>6</v>
      </c>
      <c r="C217" s="82" t="e">
        <f ca="1">OFFSET(Фильтры!#REF!,B217-1,0)</f>
        <v>#REF!</v>
      </c>
      <c r="D217" s="82" t="e">
        <f t="shared" ca="1" si="38"/>
        <v>#REF!</v>
      </c>
      <c r="E217" s="488" t="e">
        <f ca="1">OFFSET(Фильтры!#REF!,B217-1,0)</f>
        <v>#REF!</v>
      </c>
      <c r="F217" s="145" t="s">
        <v>591</v>
      </c>
      <c r="G217" s="83" t="e">
        <f t="shared" si="39"/>
        <v>#REF!</v>
      </c>
      <c r="H217" s="84" t="e">
        <f t="shared" si="40"/>
        <v>#REF!</v>
      </c>
      <c r="I217" s="518" t="e">
        <f t="shared" si="41"/>
        <v>#REF!</v>
      </c>
      <c r="J217" s="85">
        <v>125</v>
      </c>
      <c r="K217" s="86"/>
      <c r="L217" s="81" t="str">
        <f t="shared" si="42"/>
        <v>Ø125</v>
      </c>
      <c r="M217" s="87">
        <f t="shared" si="43"/>
        <v>1.2271846303085129E-2</v>
      </c>
      <c r="N217" s="88">
        <v>200</v>
      </c>
      <c r="O217" s="89">
        <v>1.5</v>
      </c>
      <c r="P217" s="86" t="s">
        <v>500</v>
      </c>
      <c r="Q217" s="86"/>
      <c r="R217" s="86"/>
      <c r="S217" s="86"/>
      <c r="T217" s="86"/>
      <c r="U217" s="86"/>
      <c r="V217" s="86"/>
      <c r="W217" s="86">
        <v>133</v>
      </c>
      <c r="X217" s="86">
        <v>265</v>
      </c>
      <c r="Y217" s="86">
        <v>20</v>
      </c>
      <c r="Z217" s="86">
        <v>50</v>
      </c>
      <c r="AA217" s="81">
        <f t="shared" si="44"/>
        <v>2.9017655631359719E-4</v>
      </c>
      <c r="AB217" s="52">
        <f t="shared" si="45"/>
        <v>0.11178245785991563</v>
      </c>
      <c r="AH217" s="40"/>
      <c r="AJ217" s="41"/>
      <c r="AK217" s="41"/>
      <c r="AL217" s="41"/>
      <c r="AP217" s="40"/>
      <c r="AQ217" s="40"/>
      <c r="AR217" s="41"/>
      <c r="AS217" s="41"/>
    </row>
    <row r="218" spans="1:48">
      <c r="A218" s="538" t="s">
        <v>1036</v>
      </c>
      <c r="B218" s="77" t="e">
        <f>MATCH(A218,Фильтры!B$7:B$1941,0)</f>
        <v>#N/A</v>
      </c>
      <c r="C218" s="78" t="e">
        <f ca="1">OFFSET(Фильтры!#REF!,B218-1,0)</f>
        <v>#REF!</v>
      </c>
      <c r="D218" s="78" t="e">
        <f t="shared" ca="1" si="38"/>
        <v>#REF!</v>
      </c>
      <c r="E218" s="489" t="e">
        <f ca="1">OFFSET(Фильтры!#REF!,B218-1,0)</f>
        <v>#REF!</v>
      </c>
      <c r="F218" s="500" t="s">
        <v>591</v>
      </c>
      <c r="G218" s="101" t="e">
        <f t="shared" si="39"/>
        <v>#REF!</v>
      </c>
      <c r="H218" s="102" t="e">
        <f t="shared" si="40"/>
        <v>#REF!</v>
      </c>
      <c r="I218" s="520" t="e">
        <f t="shared" si="41"/>
        <v>#REF!</v>
      </c>
      <c r="J218" s="103">
        <v>125</v>
      </c>
      <c r="K218" s="104"/>
      <c r="L218" s="77" t="str">
        <f t="shared" si="42"/>
        <v>Ø125</v>
      </c>
      <c r="M218" s="105">
        <f t="shared" si="43"/>
        <v>1.2271846303085129E-2</v>
      </c>
      <c r="N218" s="106">
        <v>404</v>
      </c>
      <c r="O218" s="107">
        <v>2.2200000000000002</v>
      </c>
      <c r="P218" s="104" t="s">
        <v>501</v>
      </c>
      <c r="Q218" s="104"/>
      <c r="R218" s="104"/>
      <c r="S218" s="104"/>
      <c r="T218" s="104"/>
      <c r="U218" s="104"/>
      <c r="V218" s="104"/>
      <c r="W218" s="104">
        <v>200</v>
      </c>
      <c r="X218" s="104">
        <v>400</v>
      </c>
      <c r="Y218" s="104">
        <v>40</v>
      </c>
      <c r="Z218" s="104">
        <v>125</v>
      </c>
      <c r="AA218" s="77">
        <f t="shared" si="44"/>
        <v>5.6249999999999996E-4</v>
      </c>
      <c r="AB218" s="62">
        <f t="shared" si="45"/>
        <v>8.7500000000000022E-2</v>
      </c>
      <c r="AH218" s="40"/>
      <c r="AJ218" s="41"/>
      <c r="AK218" s="41"/>
      <c r="AL218" s="41"/>
      <c r="AP218" s="40"/>
      <c r="AQ218" s="40"/>
      <c r="AR218" s="41"/>
      <c r="AS218" s="41"/>
    </row>
    <row r="219" spans="1:48">
      <c r="A219" s="538" t="s">
        <v>1037</v>
      </c>
      <c r="B219" s="77" t="e">
        <f>MATCH(A219,Фильтры!B$7:B$1941,0)</f>
        <v>#N/A</v>
      </c>
      <c r="C219" s="78" t="e">
        <f ca="1">OFFSET(Фильтры!#REF!,B219-1,0)</f>
        <v>#REF!</v>
      </c>
      <c r="D219" s="78" t="e">
        <f t="shared" ca="1" si="38"/>
        <v>#REF!</v>
      </c>
      <c r="E219" s="489" t="e">
        <f ca="1">OFFSET(Фильтры!#REF!,B219-1,0)</f>
        <v>#REF!</v>
      </c>
      <c r="F219" s="500" t="s">
        <v>591</v>
      </c>
      <c r="G219" s="101" t="e">
        <f t="shared" si="39"/>
        <v>#REF!</v>
      </c>
      <c r="H219" s="102" t="e">
        <f t="shared" si="40"/>
        <v>#REF!</v>
      </c>
      <c r="I219" s="520" t="e">
        <f t="shared" si="41"/>
        <v>#REF!</v>
      </c>
      <c r="J219" s="103">
        <v>125</v>
      </c>
      <c r="K219" s="104"/>
      <c r="L219" s="77" t="str">
        <f t="shared" si="42"/>
        <v>Ø125</v>
      </c>
      <c r="M219" s="105">
        <f t="shared" si="43"/>
        <v>1.2271846303085129E-2</v>
      </c>
      <c r="N219" s="106">
        <v>404</v>
      </c>
      <c r="O219" s="107">
        <v>2.2200000000000002</v>
      </c>
      <c r="P219" s="104" t="s">
        <v>502</v>
      </c>
      <c r="Q219" s="104"/>
      <c r="R219" s="104"/>
      <c r="S219" s="104"/>
      <c r="T219" s="104"/>
      <c r="U219" s="104"/>
      <c r="V219" s="104"/>
      <c r="W219" s="104">
        <v>200</v>
      </c>
      <c r="X219" s="104">
        <v>400</v>
      </c>
      <c r="Y219" s="104">
        <v>40</v>
      </c>
      <c r="Z219" s="104">
        <v>125</v>
      </c>
      <c r="AA219" s="77">
        <f t="shared" si="44"/>
        <v>5.6249999999999996E-4</v>
      </c>
      <c r="AB219" s="62">
        <f t="shared" si="45"/>
        <v>8.7500000000000022E-2</v>
      </c>
      <c r="AH219" s="40"/>
      <c r="AJ219" s="41"/>
      <c r="AK219" s="41"/>
      <c r="AL219" s="41"/>
      <c r="AP219" s="40"/>
      <c r="AQ219" s="40"/>
      <c r="AR219" s="41"/>
      <c r="AS219" s="41"/>
    </row>
    <row r="220" spans="1:48">
      <c r="A220" s="537" t="s">
        <v>1038</v>
      </c>
      <c r="B220" s="81">
        <f>MATCH(A220,Фильтры!B$7:B$1941,0)</f>
        <v>7</v>
      </c>
      <c r="C220" s="82" t="e">
        <f ca="1">OFFSET(Фильтры!#REF!,B220-1,0)</f>
        <v>#REF!</v>
      </c>
      <c r="D220" s="82" t="e">
        <f t="shared" ca="1" si="38"/>
        <v>#REF!</v>
      </c>
      <c r="E220" s="488" t="e">
        <f ca="1">OFFSET(Фильтры!#REF!,B220-1,0)</f>
        <v>#REF!</v>
      </c>
      <c r="F220" s="145" t="s">
        <v>591</v>
      </c>
      <c r="G220" s="83" t="e">
        <f t="shared" si="39"/>
        <v>#REF!</v>
      </c>
      <c r="H220" s="84" t="e">
        <f t="shared" si="40"/>
        <v>#REF!</v>
      </c>
      <c r="I220" s="518" t="e">
        <f t="shared" si="41"/>
        <v>#REF!</v>
      </c>
      <c r="J220" s="85">
        <v>160</v>
      </c>
      <c r="K220" s="86"/>
      <c r="L220" s="81" t="str">
        <f t="shared" si="42"/>
        <v>Ø160</v>
      </c>
      <c r="M220" s="87">
        <f t="shared" si="43"/>
        <v>2.0106192982974676E-2</v>
      </c>
      <c r="N220" s="88">
        <v>200</v>
      </c>
      <c r="O220" s="89">
        <v>1.8</v>
      </c>
      <c r="P220" s="86" t="s">
        <v>500</v>
      </c>
      <c r="Q220" s="86"/>
      <c r="R220" s="86"/>
      <c r="S220" s="86"/>
      <c r="T220" s="86"/>
      <c r="U220" s="86"/>
      <c r="V220" s="86"/>
      <c r="W220" s="86">
        <v>253</v>
      </c>
      <c r="X220" s="86">
        <v>398</v>
      </c>
      <c r="Y220" s="86">
        <v>30</v>
      </c>
      <c r="Z220" s="86">
        <v>60</v>
      </c>
      <c r="AA220" s="81">
        <f t="shared" si="44"/>
        <v>2.2190823272694391E-4</v>
      </c>
      <c r="AB220" s="52">
        <f t="shared" si="45"/>
        <v>6.2434292218897416E-2</v>
      </c>
      <c r="AH220" s="40"/>
      <c r="AJ220" s="41"/>
      <c r="AK220" s="41"/>
      <c r="AL220" s="41"/>
      <c r="AP220" s="40"/>
      <c r="AQ220" s="40"/>
      <c r="AR220" s="41"/>
      <c r="AS220" s="41"/>
    </row>
    <row r="221" spans="1:48">
      <c r="A221" s="538" t="s">
        <v>1039</v>
      </c>
      <c r="B221" s="77" t="e">
        <f>MATCH(A221,Фильтры!B$7:B$1941,0)</f>
        <v>#N/A</v>
      </c>
      <c r="C221" s="78" t="e">
        <f ca="1">OFFSET(Фильтры!#REF!,B221-1,0)</f>
        <v>#REF!</v>
      </c>
      <c r="D221" s="78" t="e">
        <f t="shared" ca="1" si="38"/>
        <v>#REF!</v>
      </c>
      <c r="E221" s="489" t="e">
        <f ca="1">OFFSET(Фильтры!#REF!,B221-1,0)</f>
        <v>#REF!</v>
      </c>
      <c r="F221" s="500" t="s">
        <v>591</v>
      </c>
      <c r="G221" s="101" t="e">
        <f t="shared" si="39"/>
        <v>#REF!</v>
      </c>
      <c r="H221" s="102" t="e">
        <f t="shared" si="40"/>
        <v>#REF!</v>
      </c>
      <c r="I221" s="520" t="e">
        <f t="shared" si="41"/>
        <v>#REF!</v>
      </c>
      <c r="J221" s="103">
        <v>160</v>
      </c>
      <c r="K221" s="104"/>
      <c r="L221" s="77" t="str">
        <f t="shared" si="42"/>
        <v>Ø160</v>
      </c>
      <c r="M221" s="105">
        <f t="shared" si="43"/>
        <v>2.0106192982974676E-2</v>
      </c>
      <c r="N221" s="106">
        <v>424</v>
      </c>
      <c r="O221" s="107">
        <v>2.44</v>
      </c>
      <c r="P221" s="104" t="s">
        <v>501</v>
      </c>
      <c r="Q221" s="104"/>
      <c r="R221" s="104"/>
      <c r="S221" s="104"/>
      <c r="T221" s="104"/>
      <c r="U221" s="104"/>
      <c r="V221" s="104"/>
      <c r="W221" s="104">
        <v>200</v>
      </c>
      <c r="X221" s="104">
        <v>600</v>
      </c>
      <c r="Y221" s="104">
        <v>35</v>
      </c>
      <c r="Z221" s="104">
        <v>175</v>
      </c>
      <c r="AA221" s="77">
        <f t="shared" si="44"/>
        <v>2.9166666666666675E-4</v>
      </c>
      <c r="AB221" s="62">
        <f t="shared" si="45"/>
        <v>0.11666666666666664</v>
      </c>
      <c r="AH221" s="40"/>
      <c r="AJ221" s="41"/>
      <c r="AK221" s="41"/>
      <c r="AL221" s="41"/>
      <c r="AP221" s="40"/>
      <c r="AQ221" s="40"/>
      <c r="AR221" s="41"/>
      <c r="AS221" s="41"/>
    </row>
    <row r="222" spans="1:48">
      <c r="A222" s="538" t="s">
        <v>1040</v>
      </c>
      <c r="B222" s="77" t="e">
        <f>MATCH(A222,Фильтры!B$7:B$1941,0)</f>
        <v>#N/A</v>
      </c>
      <c r="C222" s="78" t="e">
        <f ca="1">OFFSET(Фильтры!#REF!,B222-1,0)</f>
        <v>#REF!</v>
      </c>
      <c r="D222" s="78" t="e">
        <f t="shared" ca="1" si="38"/>
        <v>#REF!</v>
      </c>
      <c r="E222" s="489" t="e">
        <f ca="1">OFFSET(Фильтры!#REF!,B222-1,0)</f>
        <v>#REF!</v>
      </c>
      <c r="F222" s="500" t="s">
        <v>591</v>
      </c>
      <c r="G222" s="101" t="e">
        <f t="shared" si="39"/>
        <v>#REF!</v>
      </c>
      <c r="H222" s="102" t="e">
        <f t="shared" si="40"/>
        <v>#REF!</v>
      </c>
      <c r="I222" s="520" t="e">
        <f t="shared" si="41"/>
        <v>#REF!</v>
      </c>
      <c r="J222" s="103">
        <v>160</v>
      </c>
      <c r="K222" s="104"/>
      <c r="L222" s="77" t="str">
        <f t="shared" si="42"/>
        <v>Ø160</v>
      </c>
      <c r="M222" s="105">
        <f t="shared" si="43"/>
        <v>2.0106192982974676E-2</v>
      </c>
      <c r="N222" s="106">
        <v>424</v>
      </c>
      <c r="O222" s="107">
        <v>2.44</v>
      </c>
      <c r="P222" s="104" t="s">
        <v>502</v>
      </c>
      <c r="Q222" s="104"/>
      <c r="R222" s="104"/>
      <c r="S222" s="104"/>
      <c r="T222" s="104"/>
      <c r="U222" s="104"/>
      <c r="V222" s="104"/>
      <c r="W222" s="104">
        <v>200</v>
      </c>
      <c r="X222" s="104">
        <v>600</v>
      </c>
      <c r="Y222" s="104">
        <v>35</v>
      </c>
      <c r="Z222" s="104">
        <v>175</v>
      </c>
      <c r="AA222" s="77">
        <f t="shared" si="44"/>
        <v>2.9166666666666675E-4</v>
      </c>
      <c r="AB222" s="62">
        <f t="shared" si="45"/>
        <v>0.11666666666666664</v>
      </c>
      <c r="AH222" s="40"/>
      <c r="AJ222" s="41"/>
      <c r="AK222" s="41"/>
      <c r="AL222" s="41"/>
      <c r="AP222" s="40"/>
      <c r="AQ222" s="40"/>
      <c r="AR222" s="41"/>
      <c r="AS222" s="41"/>
    </row>
    <row r="223" spans="1:48">
      <c r="A223" s="537" t="s">
        <v>1041</v>
      </c>
      <c r="B223" s="81">
        <f>MATCH(A223,Фильтры!B$7:B$1941,0)</f>
        <v>8</v>
      </c>
      <c r="C223" s="82" t="e">
        <f ca="1">OFFSET(Фильтры!#REF!,B223-1,0)</f>
        <v>#REF!</v>
      </c>
      <c r="D223" s="82" t="e">
        <f t="shared" ca="1" si="38"/>
        <v>#REF!</v>
      </c>
      <c r="E223" s="488" t="e">
        <f ca="1">OFFSET(Фильтры!#REF!,B223-1,0)</f>
        <v>#REF!</v>
      </c>
      <c r="F223" s="145" t="s">
        <v>591</v>
      </c>
      <c r="G223" s="83" t="e">
        <f t="shared" si="39"/>
        <v>#REF!</v>
      </c>
      <c r="H223" s="84" t="e">
        <f t="shared" si="40"/>
        <v>#REF!</v>
      </c>
      <c r="I223" s="518" t="e">
        <f t="shared" si="41"/>
        <v>#REF!</v>
      </c>
      <c r="J223" s="85">
        <v>200</v>
      </c>
      <c r="K223" s="86"/>
      <c r="L223" s="81" t="str">
        <f t="shared" si="42"/>
        <v>Ø200</v>
      </c>
      <c r="M223" s="87">
        <f t="shared" si="43"/>
        <v>3.1415926535897934E-2</v>
      </c>
      <c r="N223" s="88">
        <v>200</v>
      </c>
      <c r="O223" s="89">
        <v>2.4</v>
      </c>
      <c r="P223" s="86" t="s">
        <v>500</v>
      </c>
      <c r="Q223" s="86"/>
      <c r="R223" s="86"/>
      <c r="S223" s="86"/>
      <c r="T223" s="86"/>
      <c r="U223" s="86"/>
      <c r="V223" s="86"/>
      <c r="W223" s="86">
        <v>339</v>
      </c>
      <c r="X223" s="86">
        <v>509</v>
      </c>
      <c r="Y223" s="86">
        <v>26</v>
      </c>
      <c r="Z223" s="86">
        <v>50</v>
      </c>
      <c r="AA223" s="81">
        <f t="shared" si="44"/>
        <v>1.2668036423672861E-4</v>
      </c>
      <c r="AB223" s="52">
        <f t="shared" si="45"/>
        <v>3.375152171548941E-2</v>
      </c>
      <c r="AH223" s="40"/>
      <c r="AJ223" s="41"/>
      <c r="AK223" s="41"/>
      <c r="AL223" s="41"/>
      <c r="AP223" s="40"/>
      <c r="AQ223" s="40"/>
      <c r="AR223" s="41"/>
      <c r="AS223" s="41"/>
    </row>
    <row r="224" spans="1:48">
      <c r="A224" s="538" t="s">
        <v>1042</v>
      </c>
      <c r="B224" s="77" t="e">
        <f>MATCH(A224,Фильтры!B$7:B$1941,0)</f>
        <v>#N/A</v>
      </c>
      <c r="C224" s="78" t="e">
        <f ca="1">OFFSET(Фильтры!#REF!,B224-1,0)</f>
        <v>#REF!</v>
      </c>
      <c r="D224" s="78" t="e">
        <f t="shared" ca="1" si="38"/>
        <v>#REF!</v>
      </c>
      <c r="E224" s="489" t="e">
        <f ca="1">OFFSET(Фильтры!#REF!,B224-1,0)</f>
        <v>#REF!</v>
      </c>
      <c r="F224" s="500" t="s">
        <v>591</v>
      </c>
      <c r="G224" s="101" t="e">
        <f t="shared" si="39"/>
        <v>#REF!</v>
      </c>
      <c r="H224" s="102" t="e">
        <f t="shared" si="40"/>
        <v>#REF!</v>
      </c>
      <c r="I224" s="520" t="e">
        <f t="shared" si="41"/>
        <v>#REF!</v>
      </c>
      <c r="J224" s="103">
        <v>200</v>
      </c>
      <c r="K224" s="104"/>
      <c r="L224" s="77" t="str">
        <f t="shared" si="42"/>
        <v>Ø200</v>
      </c>
      <c r="M224" s="105">
        <f t="shared" si="43"/>
        <v>3.1415926535897934E-2</v>
      </c>
      <c r="N224" s="106">
        <v>474</v>
      </c>
      <c r="O224" s="107">
        <v>3.65</v>
      </c>
      <c r="P224" s="104" t="s">
        <v>501</v>
      </c>
      <c r="Q224" s="104"/>
      <c r="R224" s="104"/>
      <c r="S224" s="104"/>
      <c r="T224" s="104"/>
      <c r="U224" s="104"/>
      <c r="V224" s="104"/>
      <c r="W224" s="104">
        <v>200</v>
      </c>
      <c r="X224" s="104">
        <v>800</v>
      </c>
      <c r="Y224" s="104">
        <v>24</v>
      </c>
      <c r="Z224" s="104">
        <v>160</v>
      </c>
      <c r="AA224" s="77">
        <f t="shared" si="44"/>
        <v>1.3333333333333337E-4</v>
      </c>
      <c r="AB224" s="62">
        <f t="shared" si="45"/>
        <v>9.3333333333333324E-2</v>
      </c>
      <c r="AH224" s="40"/>
      <c r="AJ224" s="41"/>
      <c r="AK224" s="41"/>
      <c r="AL224" s="41"/>
      <c r="AP224" s="40"/>
      <c r="AQ224" s="40"/>
      <c r="AR224" s="41"/>
      <c r="AS224" s="41"/>
    </row>
    <row r="225" spans="1:45">
      <c r="A225" s="538" t="s">
        <v>1043</v>
      </c>
      <c r="B225" s="77" t="e">
        <f>MATCH(A225,Фильтры!B$7:B$1941,0)</f>
        <v>#N/A</v>
      </c>
      <c r="C225" s="78" t="e">
        <f ca="1">OFFSET(Фильтры!#REF!,B225-1,0)</f>
        <v>#REF!</v>
      </c>
      <c r="D225" s="78" t="e">
        <f t="shared" ca="1" si="38"/>
        <v>#REF!</v>
      </c>
      <c r="E225" s="489" t="e">
        <f ca="1">OFFSET(Фильтры!#REF!,B225-1,0)</f>
        <v>#REF!</v>
      </c>
      <c r="F225" s="500" t="s">
        <v>591</v>
      </c>
      <c r="G225" s="101" t="e">
        <f t="shared" si="39"/>
        <v>#REF!</v>
      </c>
      <c r="H225" s="102" t="e">
        <f t="shared" si="40"/>
        <v>#REF!</v>
      </c>
      <c r="I225" s="520" t="e">
        <f t="shared" si="41"/>
        <v>#REF!</v>
      </c>
      <c r="J225" s="103">
        <v>200</v>
      </c>
      <c r="K225" s="104"/>
      <c r="L225" s="77" t="str">
        <f t="shared" si="42"/>
        <v>Ø200</v>
      </c>
      <c r="M225" s="105">
        <f t="shared" si="43"/>
        <v>3.1415926535897934E-2</v>
      </c>
      <c r="N225" s="106">
        <v>474</v>
      </c>
      <c r="O225" s="107">
        <v>3.65</v>
      </c>
      <c r="P225" s="104" t="s">
        <v>502</v>
      </c>
      <c r="Q225" s="104"/>
      <c r="R225" s="104"/>
      <c r="S225" s="104"/>
      <c r="T225" s="104"/>
      <c r="U225" s="104"/>
      <c r="V225" s="104"/>
      <c r="W225" s="104">
        <v>200</v>
      </c>
      <c r="X225" s="104">
        <v>800</v>
      </c>
      <c r="Y225" s="104">
        <v>24</v>
      </c>
      <c r="Z225" s="104">
        <v>160</v>
      </c>
      <c r="AA225" s="77">
        <f t="shared" si="44"/>
        <v>1.3333333333333337E-4</v>
      </c>
      <c r="AB225" s="62">
        <f t="shared" si="45"/>
        <v>9.3333333333333324E-2</v>
      </c>
      <c r="AH225" s="40"/>
      <c r="AJ225" s="41"/>
      <c r="AK225" s="41"/>
      <c r="AL225" s="41"/>
      <c r="AP225" s="40"/>
      <c r="AQ225" s="40"/>
      <c r="AR225" s="41"/>
      <c r="AS225" s="41"/>
    </row>
    <row r="226" spans="1:45">
      <c r="A226" s="537" t="s">
        <v>1044</v>
      </c>
      <c r="B226" s="81">
        <f>MATCH(A226,Фильтры!B$7:B$1941,0)</f>
        <v>9</v>
      </c>
      <c r="C226" s="82" t="e">
        <f ca="1">OFFSET(Фильтры!#REF!,B226-1,0)</f>
        <v>#REF!</v>
      </c>
      <c r="D226" s="82" t="e">
        <f t="shared" ca="1" si="38"/>
        <v>#REF!</v>
      </c>
      <c r="E226" s="488" t="e">
        <f ca="1">OFFSET(Фильтры!#REF!,B226-1,0)</f>
        <v>#REF!</v>
      </c>
      <c r="F226" s="145" t="s">
        <v>591</v>
      </c>
      <c r="G226" s="83" t="e">
        <f t="shared" si="39"/>
        <v>#REF!</v>
      </c>
      <c r="H226" s="84" t="e">
        <f t="shared" si="40"/>
        <v>#REF!</v>
      </c>
      <c r="I226" s="518" t="e">
        <f t="shared" si="41"/>
        <v>#REF!</v>
      </c>
      <c r="J226" s="85">
        <v>250</v>
      </c>
      <c r="K226" s="86"/>
      <c r="L226" s="81" t="str">
        <f t="shared" si="42"/>
        <v>Ø250</v>
      </c>
      <c r="M226" s="87">
        <f t="shared" si="43"/>
        <v>4.9087385212340517E-2</v>
      </c>
      <c r="N226" s="88">
        <v>200</v>
      </c>
      <c r="O226" s="89">
        <v>3</v>
      </c>
      <c r="P226" s="86" t="s">
        <v>500</v>
      </c>
      <c r="Q226" s="86"/>
      <c r="R226" s="86"/>
      <c r="S226" s="86"/>
      <c r="T226" s="86"/>
      <c r="U226" s="86"/>
      <c r="V226" s="86"/>
      <c r="W226" s="86">
        <v>619</v>
      </c>
      <c r="X226" s="86">
        <v>990</v>
      </c>
      <c r="Y226" s="86">
        <v>40</v>
      </c>
      <c r="Z226" s="86">
        <v>80</v>
      </c>
      <c r="AA226" s="81">
        <f t="shared" si="44"/>
        <v>4.3632683008426006E-5</v>
      </c>
      <c r="AB226" s="52">
        <f t="shared" si="45"/>
        <v>3.7611724629739066E-2</v>
      </c>
      <c r="AH226" s="40"/>
      <c r="AJ226" s="41"/>
      <c r="AK226" s="41"/>
      <c r="AL226" s="41"/>
      <c r="AP226" s="40"/>
      <c r="AQ226" s="40"/>
      <c r="AR226" s="41"/>
      <c r="AS226" s="41"/>
    </row>
    <row r="227" spans="1:45">
      <c r="A227" s="538" t="s">
        <v>1045</v>
      </c>
      <c r="B227" s="77" t="e">
        <f>MATCH(A227,Фильтры!B$7:B$1941,0)</f>
        <v>#N/A</v>
      </c>
      <c r="C227" s="78" t="e">
        <f ca="1">OFFSET(Фильтры!#REF!,B227-1,0)</f>
        <v>#REF!</v>
      </c>
      <c r="D227" s="78" t="e">
        <f t="shared" ca="1" si="38"/>
        <v>#REF!</v>
      </c>
      <c r="E227" s="489" t="e">
        <f ca="1">OFFSET(Фильтры!#REF!,B227-1,0)</f>
        <v>#REF!</v>
      </c>
      <c r="F227" s="500" t="s">
        <v>591</v>
      </c>
      <c r="G227" s="101" t="e">
        <f t="shared" si="39"/>
        <v>#REF!</v>
      </c>
      <c r="H227" s="102" t="e">
        <f t="shared" si="40"/>
        <v>#REF!</v>
      </c>
      <c r="I227" s="520" t="e">
        <f t="shared" si="41"/>
        <v>#REF!</v>
      </c>
      <c r="J227" s="103">
        <v>250</v>
      </c>
      <c r="K227" s="104"/>
      <c r="L227" s="77" t="str">
        <f t="shared" si="42"/>
        <v>Ø250</v>
      </c>
      <c r="M227" s="105">
        <f t="shared" si="43"/>
        <v>4.9087385212340517E-2</v>
      </c>
      <c r="N227" s="106">
        <v>534</v>
      </c>
      <c r="O227" s="107">
        <v>3.67</v>
      </c>
      <c r="P227" s="104" t="s">
        <v>501</v>
      </c>
      <c r="Q227" s="104"/>
      <c r="R227" s="104"/>
      <c r="S227" s="104"/>
      <c r="T227" s="104"/>
      <c r="U227" s="104"/>
      <c r="V227" s="104"/>
      <c r="W227" s="104">
        <v>200</v>
      </c>
      <c r="X227" s="104">
        <v>1400</v>
      </c>
      <c r="Y227" s="104">
        <v>15</v>
      </c>
      <c r="Z227" s="104">
        <v>240</v>
      </c>
      <c r="AA227" s="77">
        <f t="shared" si="44"/>
        <v>8.0357142857142867E-5</v>
      </c>
      <c r="AB227" s="62">
        <f t="shared" si="45"/>
        <v>5.8928571428571427E-2</v>
      </c>
      <c r="AH227" s="40"/>
      <c r="AJ227" s="41"/>
      <c r="AK227" s="41"/>
      <c r="AL227" s="41"/>
      <c r="AP227" s="40"/>
      <c r="AQ227" s="40"/>
      <c r="AR227" s="41"/>
      <c r="AS227" s="41"/>
    </row>
    <row r="228" spans="1:45">
      <c r="A228" s="538" t="s">
        <v>1046</v>
      </c>
      <c r="B228" s="77" t="e">
        <f>MATCH(A228,Фильтры!B$7:B$1941,0)</f>
        <v>#N/A</v>
      </c>
      <c r="C228" s="78" t="e">
        <f ca="1">OFFSET(Фильтры!#REF!,B228-1,0)</f>
        <v>#REF!</v>
      </c>
      <c r="D228" s="78" t="e">
        <f t="shared" ca="1" si="38"/>
        <v>#REF!</v>
      </c>
      <c r="E228" s="489" t="e">
        <f ca="1">OFFSET(Фильтры!#REF!,B228-1,0)</f>
        <v>#REF!</v>
      </c>
      <c r="F228" s="500" t="s">
        <v>591</v>
      </c>
      <c r="G228" s="101" t="e">
        <f t="shared" si="39"/>
        <v>#REF!</v>
      </c>
      <c r="H228" s="102" t="e">
        <f t="shared" si="40"/>
        <v>#REF!</v>
      </c>
      <c r="I228" s="520" t="e">
        <f t="shared" si="41"/>
        <v>#REF!</v>
      </c>
      <c r="J228" s="103">
        <v>250</v>
      </c>
      <c r="K228" s="104"/>
      <c r="L228" s="77" t="str">
        <f t="shared" si="42"/>
        <v>Ø250</v>
      </c>
      <c r="M228" s="105">
        <f t="shared" si="43"/>
        <v>4.9087385212340517E-2</v>
      </c>
      <c r="N228" s="106">
        <v>534</v>
      </c>
      <c r="O228" s="107">
        <v>3.67</v>
      </c>
      <c r="P228" s="104" t="s">
        <v>502</v>
      </c>
      <c r="Q228" s="104"/>
      <c r="R228" s="104"/>
      <c r="S228" s="104"/>
      <c r="T228" s="104"/>
      <c r="U228" s="104"/>
      <c r="V228" s="104"/>
      <c r="W228" s="104">
        <v>200</v>
      </c>
      <c r="X228" s="104">
        <v>1400</v>
      </c>
      <c r="Y228" s="104">
        <v>15</v>
      </c>
      <c r="Z228" s="104">
        <v>240</v>
      </c>
      <c r="AA228" s="77">
        <f t="shared" si="44"/>
        <v>8.0357142857142867E-5</v>
      </c>
      <c r="AB228" s="62">
        <f t="shared" si="45"/>
        <v>5.8928571428571427E-2</v>
      </c>
      <c r="AH228" s="40"/>
      <c r="AJ228" s="41"/>
      <c r="AK228" s="41"/>
      <c r="AL228" s="41"/>
      <c r="AP228" s="40"/>
      <c r="AQ228" s="40"/>
      <c r="AR228" s="41"/>
      <c r="AS228" s="41"/>
    </row>
    <row r="229" spans="1:45">
      <c r="A229" s="537" t="s">
        <v>1047</v>
      </c>
      <c r="B229" s="81">
        <f>MATCH(A229,Фильтры!B$7:B$1941,0)</f>
        <v>10</v>
      </c>
      <c r="C229" s="82" t="e">
        <f ca="1">OFFSET(Фильтры!#REF!,B229-1,0)</f>
        <v>#REF!</v>
      </c>
      <c r="D229" s="82" t="e">
        <f t="shared" ca="1" si="38"/>
        <v>#REF!</v>
      </c>
      <c r="E229" s="488" t="e">
        <f ca="1">OFFSET(Фильтры!#REF!,B229-1,0)</f>
        <v>#REF!</v>
      </c>
      <c r="F229" s="145" t="s">
        <v>591</v>
      </c>
      <c r="G229" s="83" t="e">
        <f t="shared" si="39"/>
        <v>#REF!</v>
      </c>
      <c r="H229" s="84" t="e">
        <f t="shared" si="40"/>
        <v>#REF!</v>
      </c>
      <c r="I229" s="518" t="e">
        <f t="shared" si="41"/>
        <v>#REF!</v>
      </c>
      <c r="J229" s="85">
        <v>315</v>
      </c>
      <c r="K229" s="86"/>
      <c r="L229" s="81" t="str">
        <f t="shared" si="42"/>
        <v>Ø315</v>
      </c>
      <c r="M229" s="87">
        <f t="shared" si="43"/>
        <v>7.793113276311181E-2</v>
      </c>
      <c r="N229" s="88">
        <v>200</v>
      </c>
      <c r="O229" s="89">
        <v>4</v>
      </c>
      <c r="P229" s="86" t="s">
        <v>500</v>
      </c>
      <c r="Q229" s="86"/>
      <c r="R229" s="86"/>
      <c r="S229" s="86"/>
      <c r="T229" s="86"/>
      <c r="U229" s="86"/>
      <c r="V229" s="86"/>
      <c r="W229" s="86">
        <v>561</v>
      </c>
      <c r="X229" s="86">
        <v>1543</v>
      </c>
      <c r="Y229" s="86">
        <v>20</v>
      </c>
      <c r="Z229" s="86">
        <v>90</v>
      </c>
      <c r="AA229" s="81">
        <f t="shared" si="44"/>
        <v>2.3092982396044232E-5</v>
      </c>
      <c r="AB229" s="52">
        <f t="shared" si="45"/>
        <v>2.2695460761737191E-2</v>
      </c>
      <c r="AH229" s="40"/>
      <c r="AJ229" s="41"/>
      <c r="AK229" s="41"/>
      <c r="AL229" s="41"/>
      <c r="AP229" s="40"/>
      <c r="AQ229" s="40"/>
      <c r="AR229" s="41"/>
      <c r="AS229" s="41"/>
    </row>
    <row r="230" spans="1:45">
      <c r="A230" s="538" t="s">
        <v>1048</v>
      </c>
      <c r="B230" s="77" t="e">
        <f>MATCH(A230,Фильтры!B$7:B$1941,0)</f>
        <v>#N/A</v>
      </c>
      <c r="C230" s="78" t="e">
        <f ca="1">OFFSET(Фильтры!#REF!,B230-1,0)</f>
        <v>#REF!</v>
      </c>
      <c r="D230" s="78" t="e">
        <f t="shared" ca="1" si="38"/>
        <v>#REF!</v>
      </c>
      <c r="E230" s="489" t="e">
        <f ca="1">OFFSET(Фильтры!#REF!,B230-1,0)</f>
        <v>#REF!</v>
      </c>
      <c r="F230" s="500" t="s">
        <v>591</v>
      </c>
      <c r="G230" s="101" t="e">
        <f t="shared" si="39"/>
        <v>#REF!</v>
      </c>
      <c r="H230" s="102" t="e">
        <f t="shared" si="40"/>
        <v>#REF!</v>
      </c>
      <c r="I230" s="520" t="e">
        <f t="shared" si="41"/>
        <v>#REF!</v>
      </c>
      <c r="J230" s="103">
        <v>315</v>
      </c>
      <c r="K230" s="104"/>
      <c r="L230" s="77" t="str">
        <f t="shared" si="42"/>
        <v>Ø315</v>
      </c>
      <c r="M230" s="105">
        <f t="shared" si="43"/>
        <v>7.793113276311181E-2</v>
      </c>
      <c r="N230" s="106">
        <v>599</v>
      </c>
      <c r="O230" s="107">
        <v>6.28</v>
      </c>
      <c r="P230" s="104" t="s">
        <v>501</v>
      </c>
      <c r="Q230" s="104"/>
      <c r="R230" s="104"/>
      <c r="S230" s="104"/>
      <c r="T230" s="104"/>
      <c r="U230" s="104"/>
      <c r="V230" s="104"/>
      <c r="W230" s="104">
        <v>1000</v>
      </c>
      <c r="X230" s="104">
        <v>2500</v>
      </c>
      <c r="Y230" s="104">
        <v>90</v>
      </c>
      <c r="Z230" s="104">
        <v>400</v>
      </c>
      <c r="AA230" s="77">
        <f t="shared" si="44"/>
        <v>4.6666666666666672E-5</v>
      </c>
      <c r="AB230" s="62">
        <f t="shared" si="45"/>
        <v>4.3333333333333328E-2</v>
      </c>
      <c r="AH230" s="40"/>
      <c r="AJ230" s="41"/>
      <c r="AK230" s="41"/>
      <c r="AL230" s="41"/>
      <c r="AP230" s="40"/>
      <c r="AQ230" s="40"/>
      <c r="AR230" s="41"/>
      <c r="AS230" s="41"/>
    </row>
    <row r="231" spans="1:45">
      <c r="A231" s="538" t="s">
        <v>1049</v>
      </c>
      <c r="B231" s="77" t="e">
        <f>MATCH(A231,Фильтры!B$7:B$1941,0)</f>
        <v>#N/A</v>
      </c>
      <c r="C231" s="78" t="e">
        <f ca="1">OFFSET(Фильтры!#REF!,B231-1,0)</f>
        <v>#REF!</v>
      </c>
      <c r="D231" s="78" t="e">
        <f t="shared" ca="1" si="38"/>
        <v>#REF!</v>
      </c>
      <c r="E231" s="489" t="e">
        <f ca="1">OFFSET(Фильтры!#REF!,B231-1,0)</f>
        <v>#REF!</v>
      </c>
      <c r="F231" s="500" t="s">
        <v>591</v>
      </c>
      <c r="G231" s="101" t="e">
        <f t="shared" si="39"/>
        <v>#REF!</v>
      </c>
      <c r="H231" s="102" t="e">
        <f t="shared" si="40"/>
        <v>#REF!</v>
      </c>
      <c r="I231" s="520" t="e">
        <f t="shared" si="41"/>
        <v>#REF!</v>
      </c>
      <c r="J231" s="103">
        <v>315</v>
      </c>
      <c r="K231" s="104"/>
      <c r="L231" s="77" t="str">
        <f t="shared" si="42"/>
        <v>Ø315</v>
      </c>
      <c r="M231" s="105">
        <f t="shared" si="43"/>
        <v>7.793113276311181E-2</v>
      </c>
      <c r="N231" s="106">
        <v>599</v>
      </c>
      <c r="O231" s="107">
        <v>6.28</v>
      </c>
      <c r="P231" s="104" t="s">
        <v>502</v>
      </c>
      <c r="Q231" s="104"/>
      <c r="R231" s="104"/>
      <c r="S231" s="104"/>
      <c r="T231" s="104"/>
      <c r="U231" s="104"/>
      <c r="V231" s="104"/>
      <c r="W231" s="104">
        <v>1000</v>
      </c>
      <c r="X231" s="104">
        <v>2500</v>
      </c>
      <c r="Y231" s="104">
        <v>90</v>
      </c>
      <c r="Z231" s="104">
        <v>400</v>
      </c>
      <c r="AA231" s="77">
        <f t="shared" si="44"/>
        <v>4.6666666666666672E-5</v>
      </c>
      <c r="AB231" s="62">
        <f t="shared" si="45"/>
        <v>4.3333333333333328E-2</v>
      </c>
      <c r="AH231" s="40"/>
      <c r="AJ231" s="41"/>
      <c r="AK231" s="41"/>
      <c r="AL231" s="41"/>
      <c r="AP231" s="40"/>
      <c r="AQ231" s="40"/>
      <c r="AR231" s="41"/>
      <c r="AS231" s="41"/>
    </row>
    <row r="232" spans="1:45">
      <c r="A232" s="537" t="s">
        <v>1050</v>
      </c>
      <c r="B232" s="81">
        <f>MATCH(A232,Фильтры!B$7:B$1941,0)</f>
        <v>19</v>
      </c>
      <c r="C232" s="82" t="e">
        <f ca="1">OFFSET(Фильтры!#REF!,B232-1,0)</f>
        <v>#REF!</v>
      </c>
      <c r="D232" s="82" t="e">
        <f t="shared" ca="1" si="38"/>
        <v>#REF!</v>
      </c>
      <c r="E232" s="488" t="e">
        <f ca="1">OFFSET(Фильтры!#REF!,B232-1,0)</f>
        <v>#REF!</v>
      </c>
      <c r="F232" s="145" t="s">
        <v>591</v>
      </c>
      <c r="G232" s="83" t="e">
        <f t="shared" si="39"/>
        <v>#REF!</v>
      </c>
      <c r="H232" s="84" t="e">
        <f t="shared" si="40"/>
        <v>#REF!</v>
      </c>
      <c r="I232" s="518" t="e">
        <f t="shared" si="41"/>
        <v>#REF!</v>
      </c>
      <c r="J232" s="86">
        <v>400</v>
      </c>
      <c r="K232" s="86">
        <v>200</v>
      </c>
      <c r="L232" s="81" t="str">
        <f t="shared" si="42"/>
        <v>400x200</v>
      </c>
      <c r="M232" s="87">
        <f t="shared" si="43"/>
        <v>0.08</v>
      </c>
      <c r="N232" s="88">
        <v>330</v>
      </c>
      <c r="O232" s="89">
        <v>6</v>
      </c>
      <c r="P232" s="86" t="s">
        <v>501</v>
      </c>
      <c r="Q232" s="86"/>
      <c r="R232" s="86"/>
      <c r="S232" s="86"/>
      <c r="T232" s="86"/>
      <c r="U232" s="86"/>
      <c r="V232" s="86"/>
      <c r="W232" s="86">
        <v>1008</v>
      </c>
      <c r="X232" s="86">
        <v>1584</v>
      </c>
      <c r="Y232" s="86">
        <v>50</v>
      </c>
      <c r="Z232" s="86">
        <v>100</v>
      </c>
      <c r="AA232" s="81">
        <f t="shared" si="44"/>
        <v>2.3486351611351622E-5</v>
      </c>
      <c r="AB232" s="52">
        <f t="shared" si="45"/>
        <v>2.5928932178932166E-2</v>
      </c>
      <c r="AH232" s="40"/>
      <c r="AJ232" s="41"/>
      <c r="AK232" s="41"/>
      <c r="AL232" s="41"/>
      <c r="AP232" s="40"/>
      <c r="AQ232" s="40"/>
      <c r="AR232" s="41"/>
      <c r="AS232" s="41"/>
    </row>
    <row r="233" spans="1:45">
      <c r="A233" s="538" t="s">
        <v>1051</v>
      </c>
      <c r="B233" s="77">
        <f>MATCH(A233,Фильтры!B$7:B$1941,0)</f>
        <v>28</v>
      </c>
      <c r="C233" s="78" t="e">
        <f ca="1">OFFSET(Фильтры!#REF!,B233-1,0)</f>
        <v>#REF!</v>
      </c>
      <c r="D233" s="78" t="e">
        <f t="shared" ref="D233:D249" ca="1" si="46">RIGHT(C233,LEN(C233)+1-SEARCH("LV-",C233,1))</f>
        <v>#REF!</v>
      </c>
      <c r="E233" s="489" t="e">
        <f ca="1">OFFSET(Фильтры!#REF!,B233-1,0)</f>
        <v>#REF!</v>
      </c>
      <c r="F233" s="500" t="s">
        <v>591</v>
      </c>
      <c r="G233" s="101" t="e">
        <f t="shared" si="39"/>
        <v>#REF!</v>
      </c>
      <c r="H233" s="102" t="e">
        <f t="shared" si="40"/>
        <v>#REF!</v>
      </c>
      <c r="I233" s="520" t="e">
        <f t="shared" si="41"/>
        <v>#REF!</v>
      </c>
      <c r="J233" s="104">
        <v>400</v>
      </c>
      <c r="K233" s="104">
        <v>200</v>
      </c>
      <c r="L233" s="77" t="str">
        <f t="shared" si="42"/>
        <v>400x200</v>
      </c>
      <c r="M233" s="105">
        <f t="shared" si="43"/>
        <v>0.08</v>
      </c>
      <c r="N233" s="106">
        <v>540</v>
      </c>
      <c r="O233" s="99">
        <v>7</v>
      </c>
      <c r="P233" s="96" t="s">
        <v>502</v>
      </c>
      <c r="Q233" s="96"/>
      <c r="R233" s="96"/>
      <c r="S233" s="96"/>
      <c r="T233" s="96"/>
      <c r="U233" s="96"/>
      <c r="V233" s="96"/>
      <c r="W233" s="96">
        <v>720</v>
      </c>
      <c r="X233" s="104">
        <v>1584</v>
      </c>
      <c r="Y233" s="104">
        <v>50</v>
      </c>
      <c r="Z233" s="104">
        <v>150</v>
      </c>
      <c r="AA233" s="77">
        <f t="shared" si="44"/>
        <v>2.9227459783015334E-5</v>
      </c>
      <c r="AB233" s="62">
        <f t="shared" si="45"/>
        <v>4.8400673400673402E-2</v>
      </c>
      <c r="AH233" s="40"/>
      <c r="AJ233" s="41"/>
      <c r="AK233" s="41"/>
      <c r="AL233" s="41"/>
      <c r="AP233" s="40"/>
      <c r="AQ233" s="40"/>
      <c r="AR233" s="41"/>
      <c r="AS233" s="41"/>
    </row>
    <row r="234" spans="1:45">
      <c r="A234" s="537" t="s">
        <v>1052</v>
      </c>
      <c r="B234" s="81">
        <f>MATCH(A234,Фильтры!B$7:B$1941,0)</f>
        <v>20</v>
      </c>
      <c r="C234" s="82" t="e">
        <f ca="1">OFFSET(Фильтры!#REF!,B234-1,0)</f>
        <v>#REF!</v>
      </c>
      <c r="D234" s="82" t="e">
        <f t="shared" ca="1" si="46"/>
        <v>#REF!</v>
      </c>
      <c r="E234" s="488" t="e">
        <f ca="1">OFFSET(Фильтры!#REF!,B234-1,0)</f>
        <v>#REF!</v>
      </c>
      <c r="F234" s="145" t="s">
        <v>591</v>
      </c>
      <c r="G234" s="83" t="e">
        <f t="shared" si="39"/>
        <v>#REF!</v>
      </c>
      <c r="H234" s="84" t="e">
        <f t="shared" si="40"/>
        <v>#REF!</v>
      </c>
      <c r="I234" s="518" t="e">
        <f t="shared" si="41"/>
        <v>#REF!</v>
      </c>
      <c r="J234" s="86">
        <v>500</v>
      </c>
      <c r="K234" s="86">
        <v>250</v>
      </c>
      <c r="L234" s="81" t="str">
        <f t="shared" si="42"/>
        <v>500x250</v>
      </c>
      <c r="M234" s="87">
        <f t="shared" si="43"/>
        <v>0.125</v>
      </c>
      <c r="N234" s="88">
        <v>330</v>
      </c>
      <c r="O234" s="89">
        <v>8</v>
      </c>
      <c r="P234" s="86" t="s">
        <v>501</v>
      </c>
      <c r="Q234" s="86"/>
      <c r="R234" s="86"/>
      <c r="S234" s="86"/>
      <c r="T234" s="86"/>
      <c r="U234" s="86"/>
      <c r="V234" s="86"/>
      <c r="W234" s="86">
        <v>1575</v>
      </c>
      <c r="X234" s="86">
        <v>2475</v>
      </c>
      <c r="Y234" s="86">
        <v>50</v>
      </c>
      <c r="Z234" s="86">
        <v>100</v>
      </c>
      <c r="AA234" s="81">
        <f t="shared" si="44"/>
        <v>9.6200096200096256E-6</v>
      </c>
      <c r="AB234" s="52">
        <f t="shared" si="45"/>
        <v>1.6594516594516585E-2</v>
      </c>
      <c r="AH234" s="40"/>
      <c r="AJ234" s="41"/>
      <c r="AK234" s="41"/>
      <c r="AL234" s="41"/>
      <c r="AP234" s="40"/>
      <c r="AQ234" s="40"/>
      <c r="AR234" s="41"/>
      <c r="AS234" s="41"/>
    </row>
    <row r="235" spans="1:45">
      <c r="A235" s="538" t="s">
        <v>1053</v>
      </c>
      <c r="B235" s="77">
        <f>MATCH(A235,Фильтры!B$7:B$1941,0)</f>
        <v>29</v>
      </c>
      <c r="C235" s="78" t="e">
        <f ca="1">OFFSET(Фильтры!#REF!,B235-1,0)</f>
        <v>#REF!</v>
      </c>
      <c r="D235" s="78" t="e">
        <f t="shared" ca="1" si="46"/>
        <v>#REF!</v>
      </c>
      <c r="E235" s="489" t="e">
        <f ca="1">OFFSET(Фильтры!#REF!,B235-1,0)</f>
        <v>#REF!</v>
      </c>
      <c r="F235" s="500" t="s">
        <v>591</v>
      </c>
      <c r="G235" s="101" t="e">
        <f t="shared" si="39"/>
        <v>#REF!</v>
      </c>
      <c r="H235" s="102" t="e">
        <f t="shared" si="40"/>
        <v>#REF!</v>
      </c>
      <c r="I235" s="520" t="e">
        <f t="shared" si="41"/>
        <v>#REF!</v>
      </c>
      <c r="J235" s="104">
        <v>500</v>
      </c>
      <c r="K235" s="104">
        <v>250</v>
      </c>
      <c r="L235" s="77" t="str">
        <f t="shared" si="42"/>
        <v>500x250</v>
      </c>
      <c r="M235" s="105">
        <f t="shared" si="43"/>
        <v>0.125</v>
      </c>
      <c r="N235" s="106">
        <v>640</v>
      </c>
      <c r="O235" s="99">
        <v>9</v>
      </c>
      <c r="P235" s="96" t="s">
        <v>502</v>
      </c>
      <c r="Q235" s="96"/>
      <c r="R235" s="96"/>
      <c r="S235" s="96"/>
      <c r="T235" s="96"/>
      <c r="U235" s="96"/>
      <c r="V235" s="96"/>
      <c r="W235" s="96">
        <v>1125</v>
      </c>
      <c r="X235" s="104">
        <v>2475</v>
      </c>
      <c r="Y235" s="104">
        <v>50</v>
      </c>
      <c r="Z235" s="104">
        <v>150</v>
      </c>
      <c r="AA235" s="77">
        <f t="shared" si="44"/>
        <v>1.1971567527123083E-5</v>
      </c>
      <c r="AB235" s="62">
        <f t="shared" si="45"/>
        <v>3.0976430976430977E-2</v>
      </c>
      <c r="AH235" s="40"/>
      <c r="AJ235" s="41"/>
      <c r="AK235" s="41"/>
      <c r="AL235" s="41"/>
      <c r="AP235" s="40"/>
      <c r="AQ235" s="40"/>
      <c r="AR235" s="41"/>
      <c r="AS235" s="41"/>
    </row>
    <row r="236" spans="1:45">
      <c r="A236" s="537" t="s">
        <v>1054</v>
      </c>
      <c r="B236" s="81">
        <f>MATCH(A236,Фильтры!B$7:B$1941,0)</f>
        <v>21</v>
      </c>
      <c r="C236" s="82" t="e">
        <f ca="1">OFFSET(Фильтры!#REF!,B236-1,0)</f>
        <v>#REF!</v>
      </c>
      <c r="D236" s="82" t="e">
        <f t="shared" ca="1" si="46"/>
        <v>#REF!</v>
      </c>
      <c r="E236" s="488" t="e">
        <f ca="1">OFFSET(Фильтры!#REF!,B236-1,0)</f>
        <v>#REF!</v>
      </c>
      <c r="F236" s="145" t="s">
        <v>591</v>
      </c>
      <c r="G236" s="83" t="e">
        <f t="shared" si="39"/>
        <v>#REF!</v>
      </c>
      <c r="H236" s="84" t="e">
        <f t="shared" si="40"/>
        <v>#REF!</v>
      </c>
      <c r="I236" s="518" t="e">
        <f t="shared" si="41"/>
        <v>#REF!</v>
      </c>
      <c r="J236" s="86">
        <v>500</v>
      </c>
      <c r="K236" s="86">
        <v>300</v>
      </c>
      <c r="L236" s="81" t="str">
        <f t="shared" si="42"/>
        <v>500x300</v>
      </c>
      <c r="M236" s="87">
        <f t="shared" si="43"/>
        <v>0.15</v>
      </c>
      <c r="N236" s="88">
        <v>330</v>
      </c>
      <c r="O236" s="89">
        <v>9</v>
      </c>
      <c r="P236" s="86" t="s">
        <v>501</v>
      </c>
      <c r="Q236" s="86"/>
      <c r="R236" s="86"/>
      <c r="S236" s="86"/>
      <c r="T236" s="86"/>
      <c r="U236" s="86"/>
      <c r="V236" s="86"/>
      <c r="W236" s="86">
        <v>1890</v>
      </c>
      <c r="X236" s="86">
        <v>2970</v>
      </c>
      <c r="Y236" s="86">
        <v>50</v>
      </c>
      <c r="Z236" s="86">
        <v>100</v>
      </c>
      <c r="AA236" s="81">
        <f t="shared" si="44"/>
        <v>6.6805622361177925E-6</v>
      </c>
      <c r="AB236" s="52">
        <f t="shared" si="45"/>
        <v>1.3828763828763826E-2</v>
      </c>
      <c r="AH236" s="40"/>
      <c r="AJ236" s="41"/>
      <c r="AK236" s="41"/>
      <c r="AL236" s="41"/>
      <c r="AP236" s="40"/>
      <c r="AQ236" s="40"/>
      <c r="AR236" s="41"/>
      <c r="AS236" s="41"/>
    </row>
    <row r="237" spans="1:45">
      <c r="A237" s="538" t="s">
        <v>1055</v>
      </c>
      <c r="B237" s="77">
        <f>MATCH(A237,Фильтры!B$7:B$1941,0)</f>
        <v>30</v>
      </c>
      <c r="C237" s="78" t="e">
        <f ca="1">OFFSET(Фильтры!#REF!,B237-1,0)</f>
        <v>#REF!</v>
      </c>
      <c r="D237" s="78" t="e">
        <f t="shared" ca="1" si="46"/>
        <v>#REF!</v>
      </c>
      <c r="E237" s="489" t="e">
        <f ca="1">OFFSET(Фильтры!#REF!,B237-1,0)</f>
        <v>#REF!</v>
      </c>
      <c r="F237" s="500" t="s">
        <v>591</v>
      </c>
      <c r="G237" s="101" t="e">
        <f t="shared" si="39"/>
        <v>#REF!</v>
      </c>
      <c r="H237" s="102" t="e">
        <f t="shared" si="40"/>
        <v>#REF!</v>
      </c>
      <c r="I237" s="520" t="e">
        <f t="shared" si="41"/>
        <v>#REF!</v>
      </c>
      <c r="J237" s="104">
        <v>500</v>
      </c>
      <c r="K237" s="104">
        <v>300</v>
      </c>
      <c r="L237" s="77" t="str">
        <f t="shared" si="42"/>
        <v>500x300</v>
      </c>
      <c r="M237" s="105">
        <f t="shared" si="43"/>
        <v>0.15</v>
      </c>
      <c r="N237" s="106">
        <v>640</v>
      </c>
      <c r="O237" s="99">
        <v>10</v>
      </c>
      <c r="P237" s="96" t="s">
        <v>502</v>
      </c>
      <c r="Q237" s="96"/>
      <c r="R237" s="96"/>
      <c r="S237" s="96"/>
      <c r="T237" s="96"/>
      <c r="U237" s="96"/>
      <c r="V237" s="96"/>
      <c r="W237" s="96">
        <v>1350</v>
      </c>
      <c r="X237" s="104">
        <v>2970</v>
      </c>
      <c r="Y237" s="104">
        <v>50</v>
      </c>
      <c r="Z237" s="104">
        <v>150</v>
      </c>
      <c r="AA237" s="77">
        <f t="shared" si="44"/>
        <v>8.3135885605021418E-6</v>
      </c>
      <c r="AB237" s="62">
        <f t="shared" si="45"/>
        <v>2.5813692480359144E-2</v>
      </c>
      <c r="AH237" s="40"/>
      <c r="AJ237" s="41"/>
      <c r="AK237" s="41"/>
      <c r="AL237" s="41"/>
      <c r="AP237" s="40"/>
      <c r="AQ237" s="40"/>
      <c r="AR237" s="41"/>
      <c r="AS237" s="41"/>
    </row>
    <row r="238" spans="1:45">
      <c r="A238" s="537" t="s">
        <v>1056</v>
      </c>
      <c r="B238" s="81">
        <f>MATCH(A238,Фильтры!B$7:B$1941,0)</f>
        <v>22</v>
      </c>
      <c r="C238" s="82" t="e">
        <f ca="1">OFFSET(Фильтры!#REF!,B238-1,0)</f>
        <v>#REF!</v>
      </c>
      <c r="D238" s="82" t="e">
        <f t="shared" ca="1" si="46"/>
        <v>#REF!</v>
      </c>
      <c r="E238" s="488" t="e">
        <f ca="1">OFFSET(Фильтры!#REF!,B238-1,0)</f>
        <v>#REF!</v>
      </c>
      <c r="F238" s="145" t="s">
        <v>591</v>
      </c>
      <c r="G238" s="83" t="e">
        <f t="shared" si="39"/>
        <v>#REF!</v>
      </c>
      <c r="H238" s="84" t="e">
        <f t="shared" si="40"/>
        <v>#REF!</v>
      </c>
      <c r="I238" s="518" t="e">
        <f t="shared" si="41"/>
        <v>#REF!</v>
      </c>
      <c r="J238" s="86">
        <v>600</v>
      </c>
      <c r="K238" s="86">
        <v>300</v>
      </c>
      <c r="L238" s="81" t="str">
        <f t="shared" si="42"/>
        <v>600x300</v>
      </c>
      <c r="M238" s="87">
        <f t="shared" si="43"/>
        <v>0.18</v>
      </c>
      <c r="N238" s="88">
        <v>330</v>
      </c>
      <c r="O238" s="89">
        <v>10</v>
      </c>
      <c r="P238" s="86" t="s">
        <v>501</v>
      </c>
      <c r="Q238" s="86"/>
      <c r="R238" s="86"/>
      <c r="S238" s="86"/>
      <c r="T238" s="86"/>
      <c r="U238" s="86"/>
      <c r="V238" s="86"/>
      <c r="W238" s="86">
        <v>2268</v>
      </c>
      <c r="X238" s="86">
        <v>3564</v>
      </c>
      <c r="Y238" s="86">
        <v>50</v>
      </c>
      <c r="Z238" s="86">
        <v>100</v>
      </c>
      <c r="AA238" s="81">
        <f t="shared" si="44"/>
        <v>4.6392793306373567E-6</v>
      </c>
      <c r="AB238" s="52">
        <f t="shared" si="45"/>
        <v>1.1523969857303187E-2</v>
      </c>
      <c r="AH238" s="40"/>
      <c r="AJ238" s="41"/>
      <c r="AK238" s="41"/>
      <c r="AL238" s="41"/>
      <c r="AP238" s="40"/>
      <c r="AQ238" s="40"/>
      <c r="AR238" s="41"/>
      <c r="AS238" s="41"/>
    </row>
    <row r="239" spans="1:45">
      <c r="A239" s="538" t="s">
        <v>1057</v>
      </c>
      <c r="B239" s="77">
        <f>MATCH(A239,Фильтры!B$7:B$1941,0)</f>
        <v>31</v>
      </c>
      <c r="C239" s="78" t="e">
        <f ca="1">OFFSET(Фильтры!#REF!,B239-1,0)</f>
        <v>#REF!</v>
      </c>
      <c r="D239" s="78" t="e">
        <f t="shared" ca="1" si="46"/>
        <v>#REF!</v>
      </c>
      <c r="E239" s="489" t="e">
        <f ca="1">OFFSET(Фильтры!#REF!,B239-1,0)</f>
        <v>#REF!</v>
      </c>
      <c r="F239" s="500" t="s">
        <v>591</v>
      </c>
      <c r="G239" s="101" t="e">
        <f t="shared" si="39"/>
        <v>#REF!</v>
      </c>
      <c r="H239" s="102" t="e">
        <f t="shared" si="40"/>
        <v>#REF!</v>
      </c>
      <c r="I239" s="520" t="e">
        <f t="shared" si="41"/>
        <v>#REF!</v>
      </c>
      <c r="J239" s="104">
        <v>600</v>
      </c>
      <c r="K239" s="104">
        <v>300</v>
      </c>
      <c r="L239" s="77" t="str">
        <f t="shared" si="42"/>
        <v>600x300</v>
      </c>
      <c r="M239" s="105">
        <f t="shared" si="43"/>
        <v>0.18</v>
      </c>
      <c r="N239" s="106">
        <v>640</v>
      </c>
      <c r="O239" s="99">
        <v>11</v>
      </c>
      <c r="P239" s="96" t="s">
        <v>502</v>
      </c>
      <c r="Q239" s="96"/>
      <c r="R239" s="96"/>
      <c r="S239" s="96"/>
      <c r="T239" s="96"/>
      <c r="U239" s="96"/>
      <c r="V239" s="96"/>
      <c r="W239" s="96">
        <v>1620</v>
      </c>
      <c r="X239" s="104">
        <v>3564</v>
      </c>
      <c r="Y239" s="104">
        <v>50</v>
      </c>
      <c r="Z239" s="104">
        <v>150</v>
      </c>
      <c r="AA239" s="77">
        <f t="shared" si="44"/>
        <v>5.7733253892376003E-6</v>
      </c>
      <c r="AB239" s="62">
        <f t="shared" si="45"/>
        <v>2.1511410400299281E-2</v>
      </c>
      <c r="AH239" s="40"/>
      <c r="AJ239" s="41"/>
      <c r="AK239" s="41"/>
      <c r="AL239" s="41"/>
      <c r="AP239" s="40"/>
      <c r="AQ239" s="40"/>
      <c r="AR239" s="41"/>
      <c r="AS239" s="41"/>
    </row>
    <row r="240" spans="1:45">
      <c r="A240" s="537" t="s">
        <v>1058</v>
      </c>
      <c r="B240" s="81">
        <f>MATCH(A240,Фильтры!B$7:B$1941,0)</f>
        <v>23</v>
      </c>
      <c r="C240" s="82" t="e">
        <f ca="1">OFFSET(Фильтры!#REF!,B240-1,0)</f>
        <v>#REF!</v>
      </c>
      <c r="D240" s="82" t="e">
        <f t="shared" ca="1" si="46"/>
        <v>#REF!</v>
      </c>
      <c r="E240" s="488" t="e">
        <f ca="1">OFFSET(Фильтры!#REF!,B240-1,0)</f>
        <v>#REF!</v>
      </c>
      <c r="F240" s="145" t="s">
        <v>591</v>
      </c>
      <c r="G240" s="83" t="e">
        <f t="shared" si="39"/>
        <v>#REF!</v>
      </c>
      <c r="H240" s="84" t="e">
        <f t="shared" si="40"/>
        <v>#REF!</v>
      </c>
      <c r="I240" s="518" t="e">
        <f t="shared" si="41"/>
        <v>#REF!</v>
      </c>
      <c r="J240" s="86">
        <v>600</v>
      </c>
      <c r="K240" s="86">
        <v>350</v>
      </c>
      <c r="L240" s="81" t="str">
        <f t="shared" si="42"/>
        <v>600x350</v>
      </c>
      <c r="M240" s="87">
        <f t="shared" si="43"/>
        <v>0.21</v>
      </c>
      <c r="N240" s="88">
        <v>330</v>
      </c>
      <c r="O240" s="89">
        <v>11</v>
      </c>
      <c r="P240" s="86" t="s">
        <v>501</v>
      </c>
      <c r="Q240" s="86"/>
      <c r="R240" s="86"/>
      <c r="S240" s="86"/>
      <c r="T240" s="86"/>
      <c r="U240" s="86"/>
      <c r="V240" s="86"/>
      <c r="W240" s="86">
        <v>2646</v>
      </c>
      <c r="X240" s="86">
        <v>4158</v>
      </c>
      <c r="Y240" s="86">
        <v>50</v>
      </c>
      <c r="Z240" s="86">
        <v>100</v>
      </c>
      <c r="AA240" s="81">
        <f t="shared" si="44"/>
        <v>3.408450120468261E-6</v>
      </c>
      <c r="AB240" s="52">
        <f t="shared" si="45"/>
        <v>9.8776884491170221E-3</v>
      </c>
      <c r="AH240" s="40"/>
      <c r="AJ240" s="41"/>
      <c r="AK240" s="41"/>
      <c r="AL240" s="41"/>
      <c r="AP240" s="40"/>
      <c r="AQ240" s="40"/>
      <c r="AR240" s="41"/>
      <c r="AS240" s="41"/>
    </row>
    <row r="241" spans="1:47">
      <c r="A241" s="538" t="s">
        <v>1059</v>
      </c>
      <c r="B241" s="77">
        <f>MATCH(A241,Фильтры!B$7:B$1941,0)</f>
        <v>32</v>
      </c>
      <c r="C241" s="78" t="e">
        <f ca="1">OFFSET(Фильтры!#REF!,B241-1,0)</f>
        <v>#REF!</v>
      </c>
      <c r="D241" s="78" t="e">
        <f t="shared" ca="1" si="46"/>
        <v>#REF!</v>
      </c>
      <c r="E241" s="489" t="e">
        <f ca="1">OFFSET(Фильтры!#REF!,B241-1,0)</f>
        <v>#REF!</v>
      </c>
      <c r="F241" s="500" t="s">
        <v>591</v>
      </c>
      <c r="G241" s="101" t="e">
        <f t="shared" si="39"/>
        <v>#REF!</v>
      </c>
      <c r="H241" s="102" t="e">
        <f t="shared" si="40"/>
        <v>#REF!</v>
      </c>
      <c r="I241" s="520" t="e">
        <f t="shared" si="41"/>
        <v>#REF!</v>
      </c>
      <c r="J241" s="104">
        <v>600</v>
      </c>
      <c r="K241" s="104">
        <v>350</v>
      </c>
      <c r="L241" s="77" t="str">
        <f t="shared" si="42"/>
        <v>600x350</v>
      </c>
      <c r="M241" s="105">
        <f t="shared" si="43"/>
        <v>0.21</v>
      </c>
      <c r="N241" s="106">
        <v>640</v>
      </c>
      <c r="O241" s="99">
        <v>12</v>
      </c>
      <c r="P241" s="96" t="s">
        <v>502</v>
      </c>
      <c r="Q241" s="96"/>
      <c r="R241" s="96"/>
      <c r="S241" s="96"/>
      <c r="T241" s="96"/>
      <c r="U241" s="96"/>
      <c r="V241" s="96"/>
      <c r="W241" s="96">
        <v>1890</v>
      </c>
      <c r="X241" s="104">
        <v>4158</v>
      </c>
      <c r="Y241" s="104">
        <v>50</v>
      </c>
      <c r="Z241" s="104">
        <v>150</v>
      </c>
      <c r="AA241" s="77">
        <f t="shared" si="44"/>
        <v>4.241626816582724E-6</v>
      </c>
      <c r="AB241" s="62">
        <f t="shared" si="45"/>
        <v>1.8438351771685103E-2</v>
      </c>
      <c r="AH241" s="40"/>
      <c r="AJ241" s="41"/>
      <c r="AK241" s="41"/>
      <c r="AL241" s="41"/>
      <c r="AP241" s="40"/>
      <c r="AQ241" s="40"/>
      <c r="AR241" s="41"/>
      <c r="AS241" s="41"/>
    </row>
    <row r="242" spans="1:47">
      <c r="A242" s="537" t="s">
        <v>1060</v>
      </c>
      <c r="B242" s="81">
        <f>MATCH(A242,Фильтры!B$7:B$1941,0)</f>
        <v>24</v>
      </c>
      <c r="C242" s="82" t="e">
        <f ca="1">OFFSET(Фильтры!#REF!,B242-1,0)</f>
        <v>#REF!</v>
      </c>
      <c r="D242" s="82" t="e">
        <f t="shared" ca="1" si="46"/>
        <v>#REF!</v>
      </c>
      <c r="E242" s="488" t="e">
        <f ca="1">OFFSET(Фильтры!#REF!,B242-1,0)</f>
        <v>#REF!</v>
      </c>
      <c r="F242" s="145" t="s">
        <v>591</v>
      </c>
      <c r="G242" s="83" t="e">
        <f t="shared" si="39"/>
        <v>#REF!</v>
      </c>
      <c r="H242" s="84" t="e">
        <f t="shared" si="40"/>
        <v>#REF!</v>
      </c>
      <c r="I242" s="518" t="e">
        <f t="shared" si="41"/>
        <v>#REF!</v>
      </c>
      <c r="J242" s="86">
        <v>700</v>
      </c>
      <c r="K242" s="86">
        <v>400</v>
      </c>
      <c r="L242" s="81" t="str">
        <f t="shared" si="42"/>
        <v>700x400</v>
      </c>
      <c r="M242" s="87">
        <f t="shared" si="43"/>
        <v>0.28000000000000003</v>
      </c>
      <c r="N242" s="88">
        <v>330</v>
      </c>
      <c r="O242" s="89">
        <v>13</v>
      </c>
      <c r="P242" s="86" t="s">
        <v>501</v>
      </c>
      <c r="Q242" s="86"/>
      <c r="R242" s="86"/>
      <c r="S242" s="86"/>
      <c r="T242" s="86"/>
      <c r="U242" s="86"/>
      <c r="V242" s="86"/>
      <c r="W242" s="86">
        <v>3528</v>
      </c>
      <c r="X242" s="86">
        <v>5544</v>
      </c>
      <c r="Y242" s="86">
        <v>50</v>
      </c>
      <c r="Z242" s="86">
        <v>100</v>
      </c>
      <c r="AA242" s="81">
        <f t="shared" si="44"/>
        <v>1.9172531927633959E-6</v>
      </c>
      <c r="AB242" s="52">
        <f t="shared" si="45"/>
        <v>7.4082663368377696E-3</v>
      </c>
      <c r="AH242" s="40"/>
      <c r="AJ242" s="41"/>
      <c r="AK242" s="41"/>
      <c r="AL242" s="41"/>
      <c r="AP242" s="40"/>
      <c r="AQ242" s="40"/>
      <c r="AR242" s="41"/>
      <c r="AS242" s="41"/>
    </row>
    <row r="243" spans="1:47">
      <c r="A243" s="538" t="s">
        <v>1061</v>
      </c>
      <c r="B243" s="77">
        <f>MATCH(A243,Фильтры!B$7:B$1941,0)</f>
        <v>33</v>
      </c>
      <c r="C243" s="78" t="e">
        <f ca="1">OFFSET(Фильтры!#REF!,B243-1,0)</f>
        <v>#REF!</v>
      </c>
      <c r="D243" s="78" t="e">
        <f t="shared" ca="1" si="46"/>
        <v>#REF!</v>
      </c>
      <c r="E243" s="489" t="e">
        <f ca="1">OFFSET(Фильтры!#REF!,B243-1,0)</f>
        <v>#REF!</v>
      </c>
      <c r="F243" s="500" t="s">
        <v>591</v>
      </c>
      <c r="G243" s="101" t="e">
        <f t="shared" si="39"/>
        <v>#REF!</v>
      </c>
      <c r="H243" s="102" t="e">
        <f t="shared" si="40"/>
        <v>#REF!</v>
      </c>
      <c r="I243" s="520" t="e">
        <f t="shared" si="41"/>
        <v>#REF!</v>
      </c>
      <c r="J243" s="104">
        <v>700</v>
      </c>
      <c r="K243" s="104">
        <v>400</v>
      </c>
      <c r="L243" s="77" t="str">
        <f t="shared" si="42"/>
        <v>700x400</v>
      </c>
      <c r="M243" s="105">
        <f t="shared" si="43"/>
        <v>0.28000000000000003</v>
      </c>
      <c r="N243" s="106">
        <v>720</v>
      </c>
      <c r="O243" s="99">
        <v>14</v>
      </c>
      <c r="P243" s="96" t="s">
        <v>502</v>
      </c>
      <c r="Q243" s="96"/>
      <c r="R243" s="96"/>
      <c r="S243" s="96"/>
      <c r="T243" s="96"/>
      <c r="U243" s="96"/>
      <c r="V243" s="96"/>
      <c r="W243" s="96">
        <v>2520</v>
      </c>
      <c r="X243" s="104">
        <v>5544</v>
      </c>
      <c r="Y243" s="104">
        <v>50</v>
      </c>
      <c r="Z243" s="104">
        <v>150</v>
      </c>
      <c r="AA243" s="77">
        <f t="shared" si="44"/>
        <v>2.3859150843277831E-6</v>
      </c>
      <c r="AB243" s="62">
        <f t="shared" si="45"/>
        <v>1.3828763828763826E-2</v>
      </c>
      <c r="AH243" s="40"/>
      <c r="AJ243" s="41"/>
      <c r="AK243" s="41"/>
      <c r="AL243" s="41"/>
      <c r="AP243" s="40"/>
      <c r="AQ243" s="40"/>
      <c r="AR243" s="41"/>
      <c r="AS243" s="41"/>
    </row>
    <row r="244" spans="1:47">
      <c r="A244" s="537" t="s">
        <v>1062</v>
      </c>
      <c r="B244" s="81">
        <f>MATCH(A244,Фильтры!B$7:B$1941,0)</f>
        <v>25</v>
      </c>
      <c r="C244" s="82" t="e">
        <f ca="1">OFFSET(Фильтры!#REF!,B244-1,0)</f>
        <v>#REF!</v>
      </c>
      <c r="D244" s="82" t="e">
        <f t="shared" ca="1" si="46"/>
        <v>#REF!</v>
      </c>
      <c r="E244" s="488" t="e">
        <f ca="1">OFFSET(Фильтры!#REF!,B244-1,0)</f>
        <v>#REF!</v>
      </c>
      <c r="F244" s="145" t="s">
        <v>591</v>
      </c>
      <c r="G244" s="83" t="e">
        <f t="shared" si="39"/>
        <v>#REF!</v>
      </c>
      <c r="H244" s="84" t="e">
        <f t="shared" si="40"/>
        <v>#REF!</v>
      </c>
      <c r="I244" s="518" t="e">
        <f t="shared" si="41"/>
        <v>#REF!</v>
      </c>
      <c r="J244" s="86">
        <v>800</v>
      </c>
      <c r="K244" s="86">
        <v>500</v>
      </c>
      <c r="L244" s="81" t="str">
        <f t="shared" si="42"/>
        <v>800x500</v>
      </c>
      <c r="M244" s="87">
        <f t="shared" si="43"/>
        <v>0.4</v>
      </c>
      <c r="N244" s="88">
        <v>330</v>
      </c>
      <c r="O244" s="89">
        <v>23</v>
      </c>
      <c r="P244" s="86" t="s">
        <v>501</v>
      </c>
      <c r="Q244" s="86"/>
      <c r="R244" s="86"/>
      <c r="S244" s="86"/>
      <c r="T244" s="86"/>
      <c r="U244" s="86"/>
      <c r="V244" s="86"/>
      <c r="W244" s="86">
        <v>5040</v>
      </c>
      <c r="X244" s="86">
        <v>7920</v>
      </c>
      <c r="Y244" s="86">
        <v>50</v>
      </c>
      <c r="Z244" s="86">
        <v>100</v>
      </c>
      <c r="AA244" s="81">
        <f t="shared" si="44"/>
        <v>9.3945406445406459E-7</v>
      </c>
      <c r="AB244" s="52">
        <f t="shared" si="45"/>
        <v>5.1857864357864342E-3</v>
      </c>
      <c r="AH244" s="40"/>
      <c r="AJ244" s="41"/>
      <c r="AK244" s="41"/>
      <c r="AL244" s="41"/>
      <c r="AP244" s="40"/>
      <c r="AQ244" s="40"/>
      <c r="AR244" s="41"/>
      <c r="AS244" s="41"/>
    </row>
    <row r="245" spans="1:47">
      <c r="A245" s="538" t="s">
        <v>1063</v>
      </c>
      <c r="B245" s="77">
        <f>MATCH(A245,Фильтры!B$7:B$1941,0)</f>
        <v>34</v>
      </c>
      <c r="C245" s="78" t="e">
        <f ca="1">OFFSET(Фильтры!#REF!,B245-1,0)</f>
        <v>#REF!</v>
      </c>
      <c r="D245" s="78" t="e">
        <f t="shared" ca="1" si="46"/>
        <v>#REF!</v>
      </c>
      <c r="E245" s="489" t="e">
        <f ca="1">OFFSET(Фильтры!#REF!,B245-1,0)</f>
        <v>#REF!</v>
      </c>
      <c r="F245" s="500" t="s">
        <v>591</v>
      </c>
      <c r="G245" s="101" t="e">
        <f t="shared" si="39"/>
        <v>#REF!</v>
      </c>
      <c r="H245" s="102" t="e">
        <f t="shared" si="40"/>
        <v>#REF!</v>
      </c>
      <c r="I245" s="520" t="e">
        <f t="shared" si="41"/>
        <v>#REF!</v>
      </c>
      <c r="J245" s="104">
        <v>800</v>
      </c>
      <c r="K245" s="104">
        <v>500</v>
      </c>
      <c r="L245" s="77" t="str">
        <f t="shared" si="42"/>
        <v>800x500</v>
      </c>
      <c r="M245" s="105">
        <f t="shared" si="43"/>
        <v>0.4</v>
      </c>
      <c r="N245" s="106">
        <v>800</v>
      </c>
      <c r="O245" s="99">
        <v>24</v>
      </c>
      <c r="P245" s="96" t="s">
        <v>502</v>
      </c>
      <c r="Q245" s="96"/>
      <c r="R245" s="96"/>
      <c r="S245" s="96"/>
      <c r="T245" s="96"/>
      <c r="U245" s="96"/>
      <c r="V245" s="96"/>
      <c r="W245" s="96">
        <v>3600</v>
      </c>
      <c r="X245" s="104">
        <v>7920</v>
      </c>
      <c r="Y245" s="104">
        <v>50</v>
      </c>
      <c r="Z245" s="104">
        <v>150</v>
      </c>
      <c r="AA245" s="77">
        <f t="shared" si="44"/>
        <v>1.1690983913206138E-6</v>
      </c>
      <c r="AB245" s="62">
        <f t="shared" si="45"/>
        <v>9.6801346801346777E-3</v>
      </c>
      <c r="AH245" s="40"/>
      <c r="AJ245" s="41"/>
      <c r="AK245" s="41"/>
      <c r="AL245" s="41"/>
      <c r="AP245" s="40"/>
      <c r="AQ245" s="40"/>
      <c r="AR245" s="41"/>
      <c r="AS245" s="41"/>
    </row>
    <row r="246" spans="1:47">
      <c r="A246" s="537" t="s">
        <v>1064</v>
      </c>
      <c r="B246" s="81">
        <f>MATCH(A246,Фильтры!B$7:B$1941,0)</f>
        <v>26</v>
      </c>
      <c r="C246" s="82" t="e">
        <f ca="1">OFFSET(Фильтры!#REF!,B246-1,0)</f>
        <v>#REF!</v>
      </c>
      <c r="D246" s="82" t="e">
        <f t="shared" ca="1" si="46"/>
        <v>#REF!</v>
      </c>
      <c r="E246" s="488" t="e">
        <f ca="1">OFFSET(Фильтры!#REF!,B246-1,0)</f>
        <v>#REF!</v>
      </c>
      <c r="F246" s="145" t="s">
        <v>591</v>
      </c>
      <c r="G246" s="83" t="e">
        <f t="shared" si="39"/>
        <v>#REF!</v>
      </c>
      <c r="H246" s="84" t="e">
        <f t="shared" si="40"/>
        <v>#REF!</v>
      </c>
      <c r="I246" s="518" t="e">
        <f t="shared" si="41"/>
        <v>#REF!</v>
      </c>
      <c r="J246" s="86">
        <v>900</v>
      </c>
      <c r="K246" s="86">
        <v>500</v>
      </c>
      <c r="L246" s="81" t="str">
        <f t="shared" si="42"/>
        <v>900x500</v>
      </c>
      <c r="M246" s="87">
        <f t="shared" si="43"/>
        <v>0.45</v>
      </c>
      <c r="N246" s="88">
        <v>340</v>
      </c>
      <c r="O246" s="107">
        <v>27</v>
      </c>
      <c r="P246" s="104" t="s">
        <v>501</v>
      </c>
      <c r="Q246" s="104"/>
      <c r="R246" s="104"/>
      <c r="S246" s="104"/>
      <c r="T246" s="104"/>
      <c r="U246" s="104"/>
      <c r="V246" s="104"/>
      <c r="W246" s="104">
        <v>5670</v>
      </c>
      <c r="X246" s="86">
        <v>8910</v>
      </c>
      <c r="Y246" s="86">
        <v>50</v>
      </c>
      <c r="Z246" s="86">
        <v>100</v>
      </c>
      <c r="AA246" s="81">
        <f t="shared" si="44"/>
        <v>7.4228469290197672E-7</v>
      </c>
      <c r="AB246" s="52">
        <f t="shared" si="45"/>
        <v>4.6095879429212767E-3</v>
      </c>
      <c r="AH246" s="40"/>
      <c r="AJ246" s="41"/>
      <c r="AK246" s="41"/>
      <c r="AL246" s="41"/>
      <c r="AP246" s="40"/>
      <c r="AQ246" s="40"/>
      <c r="AR246" s="41"/>
      <c r="AS246" s="41"/>
    </row>
    <row r="247" spans="1:47">
      <c r="A247" s="538" t="s">
        <v>1065</v>
      </c>
      <c r="B247" s="77">
        <f>MATCH(A247,Фильтры!B$7:B$1941,0)</f>
        <v>35</v>
      </c>
      <c r="C247" s="78" t="e">
        <f ca="1">OFFSET(Фильтры!#REF!,B247-1,0)</f>
        <v>#REF!</v>
      </c>
      <c r="D247" s="78" t="e">
        <f t="shared" ca="1" si="46"/>
        <v>#REF!</v>
      </c>
      <c r="E247" s="489" t="e">
        <f ca="1">OFFSET(Фильтры!#REF!,B247-1,0)</f>
        <v>#REF!</v>
      </c>
      <c r="F247" s="500" t="s">
        <v>591</v>
      </c>
      <c r="G247" s="101" t="e">
        <f t="shared" si="39"/>
        <v>#REF!</v>
      </c>
      <c r="H247" s="102" t="e">
        <f t="shared" si="40"/>
        <v>#REF!</v>
      </c>
      <c r="I247" s="520" t="e">
        <f t="shared" si="41"/>
        <v>#REF!</v>
      </c>
      <c r="J247" s="104">
        <v>900</v>
      </c>
      <c r="K247" s="104">
        <v>500</v>
      </c>
      <c r="L247" s="77" t="str">
        <f t="shared" si="42"/>
        <v>900x500</v>
      </c>
      <c r="M247" s="105">
        <f t="shared" si="43"/>
        <v>0.45</v>
      </c>
      <c r="N247" s="106">
        <v>820</v>
      </c>
      <c r="O247" s="107">
        <v>28</v>
      </c>
      <c r="P247" s="104" t="s">
        <v>502</v>
      </c>
      <c r="Q247" s="104"/>
      <c r="R247" s="104"/>
      <c r="S247" s="104"/>
      <c r="T247" s="104"/>
      <c r="U247" s="104"/>
      <c r="V247" s="104"/>
      <c r="W247" s="104">
        <v>4050</v>
      </c>
      <c r="X247" s="104">
        <v>8910</v>
      </c>
      <c r="Y247" s="104">
        <v>50</v>
      </c>
      <c r="Z247" s="104">
        <v>150</v>
      </c>
      <c r="AA247" s="77">
        <f t="shared" si="44"/>
        <v>9.2373206227801568E-7</v>
      </c>
      <c r="AB247" s="62">
        <f t="shared" si="45"/>
        <v>8.6045641601197147E-3</v>
      </c>
      <c r="AH247" s="40"/>
      <c r="AJ247" s="41"/>
      <c r="AK247" s="41"/>
      <c r="AL247" s="41"/>
      <c r="AP247" s="40"/>
      <c r="AQ247" s="40"/>
      <c r="AR247" s="41"/>
      <c r="AS247" s="41"/>
    </row>
    <row r="248" spans="1:47">
      <c r="A248" s="537" t="s">
        <v>1066</v>
      </c>
      <c r="B248" s="81">
        <f>MATCH(A248,Фильтры!B$7:B$1941,0)</f>
        <v>27</v>
      </c>
      <c r="C248" s="82" t="e">
        <f ca="1">OFFSET(Фильтры!#REF!,B248-1,0)</f>
        <v>#REF!</v>
      </c>
      <c r="D248" s="82" t="e">
        <f t="shared" ca="1" si="46"/>
        <v>#REF!</v>
      </c>
      <c r="E248" s="488" t="e">
        <f ca="1">OFFSET(Фильтры!#REF!,B248-1,0)</f>
        <v>#REF!</v>
      </c>
      <c r="F248" s="145" t="s">
        <v>591</v>
      </c>
      <c r="G248" s="83" t="e">
        <f t="shared" si="39"/>
        <v>#REF!</v>
      </c>
      <c r="H248" s="84" t="e">
        <f t="shared" si="40"/>
        <v>#REF!</v>
      </c>
      <c r="I248" s="518" t="e">
        <f t="shared" si="41"/>
        <v>#REF!</v>
      </c>
      <c r="J248" s="86">
        <v>1000</v>
      </c>
      <c r="K248" s="86">
        <v>500</v>
      </c>
      <c r="L248" s="81" t="str">
        <f t="shared" si="42"/>
        <v>1000x500</v>
      </c>
      <c r="M248" s="87">
        <f t="shared" si="43"/>
        <v>0.5</v>
      </c>
      <c r="N248" s="88">
        <v>340</v>
      </c>
      <c r="O248" s="89">
        <v>32</v>
      </c>
      <c r="P248" s="86" t="s">
        <v>501</v>
      </c>
      <c r="Q248" s="86"/>
      <c r="R248" s="86"/>
      <c r="S248" s="86"/>
      <c r="T248" s="86"/>
      <c r="U248" s="86"/>
      <c r="V248" s="86"/>
      <c r="W248" s="86">
        <v>6300</v>
      </c>
      <c r="X248" s="86">
        <v>9900</v>
      </c>
      <c r="Y248" s="86">
        <v>50</v>
      </c>
      <c r="Z248" s="86">
        <v>100</v>
      </c>
      <c r="AA248" s="81">
        <f t="shared" si="44"/>
        <v>6.012506012506016E-7</v>
      </c>
      <c r="AB248" s="52">
        <f t="shared" si="45"/>
        <v>4.1486291486291463E-3</v>
      </c>
      <c r="AH248" s="40"/>
      <c r="AJ248" s="41"/>
      <c r="AK248" s="41"/>
      <c r="AL248" s="41"/>
      <c r="AP248" s="40"/>
      <c r="AQ248" s="40"/>
      <c r="AR248" s="41"/>
      <c r="AS248" s="41"/>
    </row>
    <row r="249" spans="1:47">
      <c r="A249" s="539" t="s">
        <v>1067</v>
      </c>
      <c r="B249" s="91">
        <f>MATCH(A249,Фильтры!B$7:B$1941,0)</f>
        <v>36</v>
      </c>
      <c r="C249" s="92" t="e">
        <f ca="1">OFFSET(Фильтры!#REF!,B249-1,0)</f>
        <v>#REF!</v>
      </c>
      <c r="D249" s="92" t="e">
        <f t="shared" ca="1" si="46"/>
        <v>#REF!</v>
      </c>
      <c r="E249" s="487" t="e">
        <f ca="1">OFFSET(Фильтры!#REF!,B249-1,0)</f>
        <v>#REF!</v>
      </c>
      <c r="F249" s="146" t="s">
        <v>591</v>
      </c>
      <c r="G249" s="93" t="e">
        <f t="shared" si="39"/>
        <v>#REF!</v>
      </c>
      <c r="H249" s="94" t="e">
        <f t="shared" si="40"/>
        <v>#REF!</v>
      </c>
      <c r="I249" s="519" t="e">
        <f t="shared" si="41"/>
        <v>#REF!</v>
      </c>
      <c r="J249" s="96">
        <v>1000</v>
      </c>
      <c r="K249" s="96">
        <v>500</v>
      </c>
      <c r="L249" s="91" t="str">
        <f t="shared" si="42"/>
        <v>1000x500</v>
      </c>
      <c r="M249" s="97">
        <f t="shared" si="43"/>
        <v>0.5</v>
      </c>
      <c r="N249" s="98">
        <v>820</v>
      </c>
      <c r="O249" s="99">
        <v>33</v>
      </c>
      <c r="P249" s="96" t="s">
        <v>502</v>
      </c>
      <c r="Q249" s="96"/>
      <c r="R249" s="96"/>
      <c r="S249" s="96"/>
      <c r="T249" s="96"/>
      <c r="U249" s="96"/>
      <c r="V249" s="96"/>
      <c r="W249" s="96">
        <v>4500</v>
      </c>
      <c r="X249" s="96">
        <v>9900</v>
      </c>
      <c r="Y249" s="96">
        <v>50</v>
      </c>
      <c r="Z249" s="96">
        <v>150</v>
      </c>
      <c r="AA249" s="91">
        <f t="shared" si="44"/>
        <v>7.4822297044519267E-7</v>
      </c>
      <c r="AB249" s="68">
        <f t="shared" si="45"/>
        <v>7.7441077441077442E-3</v>
      </c>
      <c r="AH249" s="40"/>
      <c r="AJ249" s="41"/>
      <c r="AK249" s="41"/>
      <c r="AL249" s="41"/>
      <c r="AP249" s="40"/>
      <c r="AQ249" s="40"/>
      <c r="AR249" s="41"/>
      <c r="AS249" s="41"/>
    </row>
    <row r="250" spans="1:47">
      <c r="AI250" s="41"/>
      <c r="AJ250" s="41"/>
      <c r="AK250" s="41"/>
      <c r="AL250" s="41"/>
      <c r="AP250" s="40"/>
      <c r="AQ250" s="40"/>
      <c r="AT250" s="41"/>
      <c r="AU250" s="41"/>
    </row>
    <row r="251" spans="1:47">
      <c r="A251" s="39" t="s">
        <v>36</v>
      </c>
      <c r="AI251" s="41"/>
      <c r="AJ251" s="41"/>
      <c r="AK251" s="41"/>
      <c r="AL251" s="41"/>
      <c r="AP251" s="40"/>
      <c r="AQ251" s="40"/>
      <c r="AT251" s="41"/>
      <c r="AU251" s="41"/>
    </row>
    <row r="252" spans="1:47">
      <c r="A252" s="42" t="s">
        <v>60</v>
      </c>
      <c r="B252" s="43" t="s">
        <v>85</v>
      </c>
      <c r="C252" s="43" t="s">
        <v>86</v>
      </c>
      <c r="D252" s="43" t="s">
        <v>87</v>
      </c>
      <c r="E252" s="43" t="s">
        <v>22</v>
      </c>
      <c r="F252" s="43" t="s">
        <v>595</v>
      </c>
      <c r="G252" s="43" t="s">
        <v>125</v>
      </c>
      <c r="H252" s="43" t="s">
        <v>88</v>
      </c>
      <c r="I252" s="43" t="s">
        <v>310</v>
      </c>
      <c r="J252" s="43" t="s">
        <v>92</v>
      </c>
      <c r="K252" s="43" t="s">
        <v>93</v>
      </c>
      <c r="L252" s="43" t="s">
        <v>94</v>
      </c>
      <c r="M252" s="43" t="s">
        <v>126</v>
      </c>
      <c r="N252" s="43" t="s">
        <v>95</v>
      </c>
      <c r="O252" s="43" t="s">
        <v>96</v>
      </c>
      <c r="P252" s="43" t="s">
        <v>132</v>
      </c>
      <c r="Q252" s="270"/>
      <c r="R252" s="270"/>
      <c r="S252" s="270"/>
      <c r="T252" s="270"/>
      <c r="U252" s="270"/>
      <c r="V252" s="270"/>
      <c r="W252" s="43" t="s">
        <v>102</v>
      </c>
      <c r="X252" s="43" t="s">
        <v>103</v>
      </c>
      <c r="Y252" s="43" t="s">
        <v>109</v>
      </c>
      <c r="Z252" s="43" t="s">
        <v>110</v>
      </c>
      <c r="AA252" s="43" t="s">
        <v>128</v>
      </c>
      <c r="AB252" s="43" t="s">
        <v>129</v>
      </c>
      <c r="AH252" s="40"/>
      <c r="AJ252" s="41"/>
      <c r="AK252" s="41"/>
      <c r="AL252" s="41"/>
      <c r="AP252" s="40"/>
      <c r="AQ252" s="40"/>
      <c r="AR252" s="41"/>
      <c r="AS252" s="41"/>
    </row>
    <row r="253" spans="1:47">
      <c r="A253" s="537" t="s">
        <v>809</v>
      </c>
      <c r="B253" s="81">
        <f>MATCH(A253,Шумоглушители!B$6:B$2000,0)</f>
        <v>7</v>
      </c>
      <c r="C253" s="82" t="str">
        <f ca="1">OFFSET(Шумоглушители!B$6,B253-1,0)</f>
        <v>Шумоглушитель LV-SDC 100-6 E16</v>
      </c>
      <c r="D253" s="82" t="str">
        <f t="shared" ref="D253:D283" ca="1" si="47">RIGHT(C253,LEN(C253)+1-SEARCH("LV-",C253,1))</f>
        <v>LV-SDC 100-6 E16</v>
      </c>
      <c r="E253" s="488">
        <f ca="1">OFFSET(Шумоглушители!C$6,B253-1,0)</f>
        <v>5312</v>
      </c>
      <c r="F253" s="145" t="s">
        <v>591</v>
      </c>
      <c r="G253" s="83" t="e">
        <f t="shared" ref="G253:G283" si="48">Задача_Расход/$M253/3600</f>
        <v>#REF!</v>
      </c>
      <c r="H253" s="84" t="e">
        <f t="shared" ref="H253:H283" si="49">Задача_Расход*(Задача_Расход*AA253+AB253)</f>
        <v>#REF!</v>
      </c>
      <c r="I253" s="518" t="e">
        <f t="shared" ref="I253:I283" si="50">CONCATENATE($L253,"=",AND($P253=Задача_ШумоглушительДлина,G253&lt;=СкоростьMAX_Шумоглушитель,G253&gt;=СкоростьMIN_Шумоглушитель))</f>
        <v>#REF!</v>
      </c>
      <c r="J253" s="85">
        <v>100</v>
      </c>
      <c r="K253" s="86"/>
      <c r="L253" s="81" t="str">
        <f t="shared" ref="L253:L283" si="51">IF(K253&gt;0,IF(J253&gt;0,CONCATENATE(J253,"x",K253),K253),CONCATENATE("Ø",J253))</f>
        <v>Ø100</v>
      </c>
      <c r="M253" s="87">
        <f t="shared" ref="M253:M283" si="52">IF(K253&gt;1,J253*K253,PI()*J253^2/4)/1000000</f>
        <v>7.8539816339744835E-3</v>
      </c>
      <c r="N253" s="88">
        <v>730</v>
      </c>
      <c r="O253" s="89">
        <v>5.3</v>
      </c>
      <c r="P253" s="86">
        <v>600</v>
      </c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1">
        <v>0</v>
      </c>
      <c r="AB253" s="52">
        <v>0</v>
      </c>
      <c r="AH253" s="40"/>
      <c r="AJ253" s="41"/>
      <c r="AK253" s="41"/>
      <c r="AL253" s="41"/>
      <c r="AP253" s="40"/>
      <c r="AQ253" s="40"/>
      <c r="AR253" s="41"/>
      <c r="AS253" s="41"/>
    </row>
    <row r="254" spans="1:47">
      <c r="A254" s="539" t="s">
        <v>810</v>
      </c>
      <c r="B254" s="77">
        <f>MATCH(A254,Шумоглушители!B$6:B$2000,0)</f>
        <v>13</v>
      </c>
      <c r="C254" s="78" t="str">
        <f ca="1">OFFSET(Шумоглушители!B$6,B254-1,0)</f>
        <v>Шумоглушитель LV-SDC 100-9 E16</v>
      </c>
      <c r="D254" s="78" t="str">
        <f t="shared" ca="1" si="47"/>
        <v>LV-SDC 100-9 E16</v>
      </c>
      <c r="E254" s="489">
        <f ca="1">OFFSET(Шумоглушители!C$6,B254-1,0)</f>
        <v>6257</v>
      </c>
      <c r="F254" s="500" t="s">
        <v>591</v>
      </c>
      <c r="G254" s="101" t="e">
        <f t="shared" si="48"/>
        <v>#REF!</v>
      </c>
      <c r="H254" s="102" t="e">
        <f t="shared" si="49"/>
        <v>#REF!</v>
      </c>
      <c r="I254" s="520" t="e">
        <f t="shared" si="50"/>
        <v>#REF!</v>
      </c>
      <c r="J254" s="103">
        <v>100</v>
      </c>
      <c r="K254" s="104"/>
      <c r="L254" s="77" t="str">
        <f t="shared" si="51"/>
        <v>Ø100</v>
      </c>
      <c r="M254" s="105">
        <f t="shared" si="52"/>
        <v>7.8539816339744835E-3</v>
      </c>
      <c r="N254" s="106">
        <v>1030</v>
      </c>
      <c r="O254" s="107">
        <v>6.2</v>
      </c>
      <c r="P254" s="104" t="s">
        <v>52</v>
      </c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77">
        <v>0</v>
      </c>
      <c r="AB254" s="62">
        <v>0</v>
      </c>
      <c r="AH254" s="40"/>
      <c r="AJ254" s="41"/>
      <c r="AK254" s="41"/>
      <c r="AL254" s="41"/>
      <c r="AP254" s="40"/>
      <c r="AQ254" s="40"/>
      <c r="AR254" s="41"/>
      <c r="AS254" s="41"/>
    </row>
    <row r="255" spans="1:47">
      <c r="A255" s="537" t="s">
        <v>811</v>
      </c>
      <c r="B255" s="81">
        <f>MATCH(A255,Шумоглушители!B$6:B$2000,0)</f>
        <v>8</v>
      </c>
      <c r="C255" s="82" t="str">
        <f ca="1">OFFSET(Шумоглушители!B$6,B255-1,0)</f>
        <v>Шумоглушитель LV-SDC 125-6 E16</v>
      </c>
      <c r="D255" s="82" t="str">
        <f t="shared" ca="1" si="47"/>
        <v>LV-SDC 125-6 E16</v>
      </c>
      <c r="E255" s="488">
        <f ca="1">OFFSET(Шумоглушители!C$6,B255-1,0)</f>
        <v>6746</v>
      </c>
      <c r="F255" s="145" t="s">
        <v>591</v>
      </c>
      <c r="G255" s="83" t="e">
        <f t="shared" si="48"/>
        <v>#REF!</v>
      </c>
      <c r="H255" s="84" t="e">
        <f t="shared" si="49"/>
        <v>#REF!</v>
      </c>
      <c r="I255" s="518" t="e">
        <f t="shared" si="50"/>
        <v>#REF!</v>
      </c>
      <c r="J255" s="85">
        <v>125</v>
      </c>
      <c r="K255" s="86"/>
      <c r="L255" s="81" t="str">
        <f t="shared" si="51"/>
        <v>Ø125</v>
      </c>
      <c r="M255" s="87">
        <f t="shared" si="52"/>
        <v>1.2271846303085129E-2</v>
      </c>
      <c r="N255" s="88">
        <v>730</v>
      </c>
      <c r="O255" s="89">
        <v>5.3</v>
      </c>
      <c r="P255" s="86">
        <v>600</v>
      </c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1">
        <v>0</v>
      </c>
      <c r="AB255" s="52">
        <v>0</v>
      </c>
      <c r="AH255" s="40"/>
      <c r="AJ255" s="41"/>
      <c r="AK255" s="41"/>
      <c r="AL255" s="41"/>
      <c r="AP255" s="40"/>
      <c r="AQ255" s="40"/>
      <c r="AR255" s="41"/>
      <c r="AS255" s="41"/>
    </row>
    <row r="256" spans="1:47">
      <c r="A256" s="538" t="s">
        <v>812</v>
      </c>
      <c r="B256" s="77">
        <f>MATCH(A256,Шумоглушители!B$6:B$2000,0)</f>
        <v>14</v>
      </c>
      <c r="C256" s="78" t="str">
        <f ca="1">OFFSET(Шумоглушители!B$6,B256-1,0)</f>
        <v>Шумоглушитель LV-SDC 125-9 E16</v>
      </c>
      <c r="D256" s="78" t="str">
        <f t="shared" ca="1" si="47"/>
        <v>LV-SDC 125-9 E16</v>
      </c>
      <c r="E256" s="489">
        <f ca="1">OFFSET(Шумоглушители!C$6,B256-1,0)</f>
        <v>7327</v>
      </c>
      <c r="F256" s="500" t="s">
        <v>591</v>
      </c>
      <c r="G256" s="101" t="e">
        <f t="shared" si="48"/>
        <v>#REF!</v>
      </c>
      <c r="H256" s="102" t="e">
        <f t="shared" si="49"/>
        <v>#REF!</v>
      </c>
      <c r="I256" s="520" t="e">
        <f t="shared" si="50"/>
        <v>#REF!</v>
      </c>
      <c r="J256" s="103">
        <v>125</v>
      </c>
      <c r="K256" s="104"/>
      <c r="L256" s="77" t="str">
        <f t="shared" si="51"/>
        <v>Ø125</v>
      </c>
      <c r="M256" s="105">
        <f t="shared" si="52"/>
        <v>1.2271846303085129E-2</v>
      </c>
      <c r="N256" s="106">
        <v>1030</v>
      </c>
      <c r="O256" s="107">
        <v>6.2</v>
      </c>
      <c r="P256" s="104" t="s">
        <v>52</v>
      </c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77">
        <v>0</v>
      </c>
      <c r="AB256" s="62">
        <v>0</v>
      </c>
      <c r="AH256" s="40"/>
      <c r="AJ256" s="41"/>
      <c r="AK256" s="41"/>
      <c r="AL256" s="41"/>
      <c r="AP256" s="40"/>
      <c r="AQ256" s="40"/>
      <c r="AR256" s="41"/>
      <c r="AS256" s="41"/>
    </row>
    <row r="257" spans="1:45">
      <c r="A257" s="537" t="s">
        <v>813</v>
      </c>
      <c r="B257" s="81">
        <f>MATCH(A257,Шумоглушители!B$6:B$2000,0)</f>
        <v>9</v>
      </c>
      <c r="C257" s="82" t="str">
        <f ca="1">OFFSET(Шумоглушители!B$6,B257-1,0)</f>
        <v>Шумоглушитель LV-SDC 160-6 E16</v>
      </c>
      <c r="D257" s="82" t="str">
        <f t="shared" ca="1" si="47"/>
        <v>LV-SDC 160-6 E16</v>
      </c>
      <c r="E257" s="488">
        <f ca="1">OFFSET(Шумоглушители!C$6,B257-1,0)</f>
        <v>7213</v>
      </c>
      <c r="F257" s="145" t="s">
        <v>591</v>
      </c>
      <c r="G257" s="83" t="e">
        <f t="shared" si="48"/>
        <v>#REF!</v>
      </c>
      <c r="H257" s="84" t="e">
        <f t="shared" si="49"/>
        <v>#REF!</v>
      </c>
      <c r="I257" s="518" t="e">
        <f t="shared" si="50"/>
        <v>#REF!</v>
      </c>
      <c r="J257" s="85">
        <v>160</v>
      </c>
      <c r="K257" s="86"/>
      <c r="L257" s="81" t="str">
        <f t="shared" si="51"/>
        <v>Ø160</v>
      </c>
      <c r="M257" s="87">
        <f t="shared" si="52"/>
        <v>2.0106192982974676E-2</v>
      </c>
      <c r="N257" s="88">
        <v>730</v>
      </c>
      <c r="O257" s="89">
        <v>5.5</v>
      </c>
      <c r="P257" s="86">
        <v>600</v>
      </c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1">
        <v>0</v>
      </c>
      <c r="AB257" s="52">
        <v>0</v>
      </c>
      <c r="AH257" s="40"/>
      <c r="AJ257" s="41"/>
      <c r="AK257" s="41"/>
      <c r="AL257" s="41"/>
      <c r="AP257" s="40"/>
      <c r="AQ257" s="40"/>
      <c r="AR257" s="41"/>
      <c r="AS257" s="41"/>
    </row>
    <row r="258" spans="1:45">
      <c r="A258" s="538" t="s">
        <v>814</v>
      </c>
      <c r="B258" s="77">
        <f>MATCH(A258,Шумоглушители!B$6:B$2000,0)</f>
        <v>15</v>
      </c>
      <c r="C258" s="78" t="str">
        <f ca="1">OFFSET(Шумоглушители!B$6,B258-1,0)</f>
        <v>Шумоглушитель LV-SDC 160-9 E16</v>
      </c>
      <c r="D258" s="78" t="str">
        <f t="shared" ca="1" si="47"/>
        <v>LV-SDC 160-9 E16</v>
      </c>
      <c r="E258" s="489">
        <f ca="1">OFFSET(Шумоглушители!C$6,B258-1,0)</f>
        <v>7894</v>
      </c>
      <c r="F258" s="500" t="s">
        <v>591</v>
      </c>
      <c r="G258" s="101" t="e">
        <f t="shared" si="48"/>
        <v>#REF!</v>
      </c>
      <c r="H258" s="102" t="e">
        <f t="shared" si="49"/>
        <v>#REF!</v>
      </c>
      <c r="I258" s="520" t="e">
        <f t="shared" si="50"/>
        <v>#REF!</v>
      </c>
      <c r="J258" s="103">
        <v>160</v>
      </c>
      <c r="K258" s="104"/>
      <c r="L258" s="77" t="str">
        <f t="shared" si="51"/>
        <v>Ø160</v>
      </c>
      <c r="M258" s="105">
        <f t="shared" si="52"/>
        <v>2.0106192982974676E-2</v>
      </c>
      <c r="N258" s="106">
        <v>1030</v>
      </c>
      <c r="O258" s="107">
        <v>7.5</v>
      </c>
      <c r="P258" s="104" t="s">
        <v>52</v>
      </c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77">
        <v>0</v>
      </c>
      <c r="AB258" s="62">
        <v>0</v>
      </c>
      <c r="AH258" s="40"/>
      <c r="AJ258" s="41"/>
      <c r="AK258" s="41"/>
      <c r="AL258" s="41"/>
      <c r="AP258" s="40"/>
      <c r="AQ258" s="40"/>
      <c r="AR258" s="41"/>
      <c r="AS258" s="41"/>
    </row>
    <row r="259" spans="1:45">
      <c r="A259" s="537" t="s">
        <v>815</v>
      </c>
      <c r="B259" s="81">
        <f>MATCH(A259,Шумоглушители!B$6:B$2000,0)</f>
        <v>10</v>
      </c>
      <c r="C259" s="82" t="str">
        <f ca="1">OFFSET(Шумоглушители!B$6,B259-1,0)</f>
        <v>Шумоглушитель LV-SDC 200-6 E16</v>
      </c>
      <c r="D259" s="82" t="str">
        <f t="shared" ca="1" si="47"/>
        <v>LV-SDC 200-6 E16</v>
      </c>
      <c r="E259" s="488">
        <f ca="1">OFFSET(Шумоглушители!C$6,B259-1,0)</f>
        <v>7393</v>
      </c>
      <c r="F259" s="145" t="s">
        <v>591</v>
      </c>
      <c r="G259" s="83" t="e">
        <f t="shared" si="48"/>
        <v>#REF!</v>
      </c>
      <c r="H259" s="84" t="e">
        <f t="shared" si="49"/>
        <v>#REF!</v>
      </c>
      <c r="I259" s="518" t="e">
        <f t="shared" si="50"/>
        <v>#REF!</v>
      </c>
      <c r="J259" s="85">
        <v>200</v>
      </c>
      <c r="K259" s="86"/>
      <c r="L259" s="81" t="str">
        <f t="shared" si="51"/>
        <v>Ø200</v>
      </c>
      <c r="M259" s="87">
        <f t="shared" si="52"/>
        <v>3.1415926535897934E-2</v>
      </c>
      <c r="N259" s="88">
        <v>730</v>
      </c>
      <c r="O259" s="89">
        <v>6.6</v>
      </c>
      <c r="P259" s="86">
        <v>600</v>
      </c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1">
        <v>0</v>
      </c>
      <c r="AB259" s="52">
        <v>0</v>
      </c>
      <c r="AH259" s="40"/>
      <c r="AJ259" s="41"/>
      <c r="AK259" s="41"/>
      <c r="AL259" s="41"/>
      <c r="AP259" s="40"/>
      <c r="AQ259" s="40"/>
      <c r="AR259" s="41"/>
      <c r="AS259" s="41"/>
    </row>
    <row r="260" spans="1:45">
      <c r="A260" s="538" t="s">
        <v>816</v>
      </c>
      <c r="B260" s="77">
        <f>MATCH(A260,Шумоглушители!B$6:B$2000,0)</f>
        <v>16</v>
      </c>
      <c r="C260" s="78" t="str">
        <f ca="1">OFFSET(Шумоглушители!B$6,B260-1,0)</f>
        <v>Шумоглушитель LV-SDC 200-9 E16</v>
      </c>
      <c r="D260" s="78" t="str">
        <f t="shared" ca="1" si="47"/>
        <v>LV-SDC 200-9 E16</v>
      </c>
      <c r="E260" s="489">
        <f ca="1">OFFSET(Шумоглушители!C$6,B260-1,0)</f>
        <v>9065</v>
      </c>
      <c r="F260" s="500" t="s">
        <v>591</v>
      </c>
      <c r="G260" s="101" t="e">
        <f t="shared" si="48"/>
        <v>#REF!</v>
      </c>
      <c r="H260" s="102" t="e">
        <f t="shared" si="49"/>
        <v>#REF!</v>
      </c>
      <c r="I260" s="520" t="e">
        <f t="shared" si="50"/>
        <v>#REF!</v>
      </c>
      <c r="J260" s="103">
        <v>200</v>
      </c>
      <c r="K260" s="104"/>
      <c r="L260" s="77" t="str">
        <f t="shared" si="51"/>
        <v>Ø200</v>
      </c>
      <c r="M260" s="105">
        <f t="shared" si="52"/>
        <v>3.1415926535897934E-2</v>
      </c>
      <c r="N260" s="106">
        <v>1030</v>
      </c>
      <c r="O260" s="107">
        <v>8.9</v>
      </c>
      <c r="P260" s="104" t="s">
        <v>52</v>
      </c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77">
        <v>0</v>
      </c>
      <c r="AB260" s="62">
        <v>0</v>
      </c>
      <c r="AH260" s="40"/>
      <c r="AJ260" s="41"/>
      <c r="AK260" s="41"/>
      <c r="AL260" s="41"/>
      <c r="AP260" s="40"/>
      <c r="AQ260" s="40"/>
      <c r="AR260" s="41"/>
      <c r="AS260" s="41"/>
    </row>
    <row r="261" spans="1:45">
      <c r="A261" s="537" t="s">
        <v>817</v>
      </c>
      <c r="B261" s="81">
        <f>MATCH(A261,Шумоглушители!B$6:B$2000,0)</f>
        <v>11</v>
      </c>
      <c r="C261" s="82" t="str">
        <f ca="1">OFFSET(Шумоглушители!B$6,B261-1,0)</f>
        <v>Шумоглушитель LV-SDC 250-6 E16</v>
      </c>
      <c r="D261" s="82" t="str">
        <f t="shared" ca="1" si="47"/>
        <v>LV-SDC 250-6 E16</v>
      </c>
      <c r="E261" s="488">
        <f ca="1">OFFSET(Шумоглушители!C$6,B261-1,0)</f>
        <v>9895</v>
      </c>
      <c r="F261" s="145" t="s">
        <v>591</v>
      </c>
      <c r="G261" s="83" t="e">
        <f t="shared" si="48"/>
        <v>#REF!</v>
      </c>
      <c r="H261" s="84" t="e">
        <f t="shared" si="49"/>
        <v>#REF!</v>
      </c>
      <c r="I261" s="518" t="e">
        <f t="shared" si="50"/>
        <v>#REF!</v>
      </c>
      <c r="J261" s="85">
        <v>250</v>
      </c>
      <c r="K261" s="86"/>
      <c r="L261" s="81" t="str">
        <f t="shared" si="51"/>
        <v>Ø250</v>
      </c>
      <c r="M261" s="87">
        <f t="shared" si="52"/>
        <v>4.9087385212340517E-2</v>
      </c>
      <c r="N261" s="88">
        <v>730</v>
      </c>
      <c r="O261" s="89">
        <v>8</v>
      </c>
      <c r="P261" s="86">
        <v>600</v>
      </c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1">
        <v>0</v>
      </c>
      <c r="AB261" s="52">
        <v>0</v>
      </c>
      <c r="AH261" s="40"/>
      <c r="AJ261" s="41"/>
      <c r="AK261" s="41"/>
      <c r="AL261" s="41"/>
      <c r="AP261" s="40"/>
      <c r="AQ261" s="40"/>
      <c r="AR261" s="41"/>
      <c r="AS261" s="41"/>
    </row>
    <row r="262" spans="1:45">
      <c r="A262" s="538" t="s">
        <v>818</v>
      </c>
      <c r="B262" s="77">
        <f>MATCH(A262,Шумоглушители!B$6:B$2000,0)</f>
        <v>17</v>
      </c>
      <c r="C262" s="78" t="str">
        <f ca="1">OFFSET(Шумоглушители!B$6,B262-1,0)</f>
        <v>Шумоглушитель LV-SDC 250-9 E16</v>
      </c>
      <c r="D262" s="78" t="str">
        <f t="shared" ca="1" si="47"/>
        <v>LV-SDC 250-9 E16</v>
      </c>
      <c r="E262" s="489">
        <f ca="1">OFFSET(Шумоглушители!C$6,B262-1,0)</f>
        <v>11987</v>
      </c>
      <c r="F262" s="500" t="s">
        <v>591</v>
      </c>
      <c r="G262" s="101" t="e">
        <f t="shared" si="48"/>
        <v>#REF!</v>
      </c>
      <c r="H262" s="102" t="e">
        <f t="shared" si="49"/>
        <v>#REF!</v>
      </c>
      <c r="I262" s="520" t="e">
        <f t="shared" si="50"/>
        <v>#REF!</v>
      </c>
      <c r="J262" s="103">
        <v>250</v>
      </c>
      <c r="K262" s="104"/>
      <c r="L262" s="77" t="str">
        <f t="shared" si="51"/>
        <v>Ø250</v>
      </c>
      <c r="M262" s="105">
        <f t="shared" si="52"/>
        <v>4.9087385212340517E-2</v>
      </c>
      <c r="N262" s="106">
        <v>1030</v>
      </c>
      <c r="O262" s="107">
        <v>10.8</v>
      </c>
      <c r="P262" s="104" t="s">
        <v>52</v>
      </c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77">
        <v>0</v>
      </c>
      <c r="AB262" s="62">
        <v>0</v>
      </c>
      <c r="AH262" s="40"/>
      <c r="AJ262" s="41"/>
      <c r="AK262" s="41"/>
      <c r="AL262" s="41"/>
      <c r="AP262" s="40"/>
      <c r="AQ262" s="40"/>
      <c r="AR262" s="41"/>
      <c r="AS262" s="41"/>
    </row>
    <row r="263" spans="1:45">
      <c r="A263" s="537" t="s">
        <v>819</v>
      </c>
      <c r="B263" s="81">
        <f>MATCH(A263,Шумоглушители!B$6:B$2000,0)</f>
        <v>12</v>
      </c>
      <c r="C263" s="82" t="str">
        <f ca="1">OFFSET(Шумоглушители!B$6,B263-1,0)</f>
        <v>Шумоглушитель LV-SDC 315-6 E16</v>
      </c>
      <c r="D263" s="82" t="str">
        <f t="shared" ca="1" si="47"/>
        <v>LV-SDC 315-6 E16</v>
      </c>
      <c r="E263" s="488">
        <f ca="1">OFFSET(Шумоглушители!C$6,B263-1,0)</f>
        <v>12520</v>
      </c>
      <c r="F263" s="145" t="s">
        <v>591</v>
      </c>
      <c r="G263" s="83" t="e">
        <f t="shared" si="48"/>
        <v>#REF!</v>
      </c>
      <c r="H263" s="84" t="e">
        <f t="shared" si="49"/>
        <v>#REF!</v>
      </c>
      <c r="I263" s="518" t="e">
        <f t="shared" si="50"/>
        <v>#REF!</v>
      </c>
      <c r="J263" s="85">
        <v>315</v>
      </c>
      <c r="K263" s="86"/>
      <c r="L263" s="81" t="str">
        <f t="shared" si="51"/>
        <v>Ø315</v>
      </c>
      <c r="M263" s="87">
        <f t="shared" si="52"/>
        <v>7.793113276311181E-2</v>
      </c>
      <c r="N263" s="88">
        <v>730</v>
      </c>
      <c r="O263" s="89">
        <v>10</v>
      </c>
      <c r="P263" s="86">
        <v>600</v>
      </c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1">
        <v>0</v>
      </c>
      <c r="AB263" s="52">
        <v>0</v>
      </c>
      <c r="AH263" s="40"/>
      <c r="AJ263" s="41"/>
      <c r="AK263" s="41"/>
      <c r="AL263" s="41"/>
      <c r="AP263" s="40"/>
      <c r="AQ263" s="40"/>
      <c r="AR263" s="41"/>
      <c r="AS263" s="41"/>
    </row>
    <row r="264" spans="1:45">
      <c r="A264" s="538" t="s">
        <v>820</v>
      </c>
      <c r="B264" s="77">
        <f>MATCH(A264,Шумоглушители!B$6:B$2000,0)</f>
        <v>18</v>
      </c>
      <c r="C264" s="78" t="str">
        <f ca="1">OFFSET(Шумоглушители!B$6,B264-1,0)</f>
        <v>Шумоглушитель LV-SDC 315-9 E16</v>
      </c>
      <c r="D264" s="78" t="str">
        <f t="shared" ref="D264:D273" ca="1" si="53">RIGHT(C264,LEN(C264)+1-SEARCH("LV-",C264,1))</f>
        <v>LV-SDC 315-9 E16</v>
      </c>
      <c r="E264" s="489">
        <f ca="1">OFFSET(Шумоглушители!C$6,B264-1,0)</f>
        <v>15863</v>
      </c>
      <c r="F264" s="500" t="s">
        <v>591</v>
      </c>
      <c r="G264" s="101" t="e">
        <f t="shared" si="48"/>
        <v>#REF!</v>
      </c>
      <c r="H264" s="102" t="e">
        <f t="shared" ref="H264:H273" si="54">Задача_Расход*(Задача_Расход*AA264+AB264)</f>
        <v>#REF!</v>
      </c>
      <c r="I264" s="520" t="e">
        <f t="shared" ref="I264:I273" si="55">CONCATENATE($L264,"=",AND($P264=Задача_ШумоглушительДлина,G264&lt;=СкоростьMAX_Шумоглушитель,G264&gt;=СкоростьMIN_Шумоглушитель))</f>
        <v>#REF!</v>
      </c>
      <c r="J264" s="103">
        <v>315</v>
      </c>
      <c r="K264" s="104"/>
      <c r="L264" s="77" t="str">
        <f t="shared" ref="L264:L273" si="56">IF(K264&gt;0,IF(J264&gt;0,CONCATENATE(J264,"x",K264),K264),CONCATENATE("Ø",J264))</f>
        <v>Ø315</v>
      </c>
      <c r="M264" s="105">
        <f t="shared" ref="M264:M273" si="57">IF(K264&gt;1,J264*K264,PI()*J264^2/4)/1000000</f>
        <v>7.793113276311181E-2</v>
      </c>
      <c r="N264" s="106">
        <v>1030</v>
      </c>
      <c r="O264" s="107">
        <v>13.3</v>
      </c>
      <c r="P264" s="104" t="s">
        <v>52</v>
      </c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77">
        <v>0</v>
      </c>
      <c r="AB264" s="62">
        <v>0</v>
      </c>
      <c r="AH264" s="40"/>
      <c r="AJ264" s="41"/>
      <c r="AK264" s="41"/>
      <c r="AL264" s="41"/>
      <c r="AP264" s="40"/>
      <c r="AQ264" s="40"/>
      <c r="AR264" s="41"/>
      <c r="AS264" s="41"/>
    </row>
    <row r="265" spans="1:45">
      <c r="A265" s="537" t="s">
        <v>821</v>
      </c>
      <c r="B265" s="81">
        <f>MATCH(A265,Шумоглушители!B$6:B$2000,0)</f>
        <v>20</v>
      </c>
      <c r="C265" s="82" t="str">
        <f ca="1">OFFSET(Шумоглушители!B$6,B265-1,0)</f>
        <v>Шумоглушитель LV-SDTA 400x200 E16</v>
      </c>
      <c r="D265" s="82" t="str">
        <f t="shared" ca="1" si="53"/>
        <v>LV-SDTA 400x200 E16</v>
      </c>
      <c r="E265" s="488">
        <f ca="1">OFFSET(Шумоглушители!C$6,B265-1,0)</f>
        <v>9223</v>
      </c>
      <c r="F265" s="145" t="s">
        <v>591</v>
      </c>
      <c r="G265" s="83" t="e">
        <f t="shared" si="48"/>
        <v>#REF!</v>
      </c>
      <c r="H265" s="84" t="e">
        <f t="shared" si="54"/>
        <v>#REF!</v>
      </c>
      <c r="I265" s="518" t="e">
        <f t="shared" si="55"/>
        <v>#REF!</v>
      </c>
      <c r="J265" s="86">
        <v>400</v>
      </c>
      <c r="K265" s="86">
        <v>200</v>
      </c>
      <c r="L265" s="81" t="str">
        <f t="shared" si="56"/>
        <v>400x200</v>
      </c>
      <c r="M265" s="87">
        <f t="shared" si="57"/>
        <v>0.08</v>
      </c>
      <c r="N265" s="88">
        <v>1150</v>
      </c>
      <c r="O265" s="108">
        <v>14</v>
      </c>
      <c r="P265" s="109" t="s">
        <v>52</v>
      </c>
      <c r="Q265" s="109"/>
      <c r="R265" s="109"/>
      <c r="S265" s="109"/>
      <c r="T265" s="109"/>
      <c r="U265" s="109"/>
      <c r="V265" s="109"/>
      <c r="W265" s="109">
        <v>576</v>
      </c>
      <c r="X265" s="86">
        <v>1584</v>
      </c>
      <c r="Y265" s="86">
        <v>20</v>
      </c>
      <c r="Z265" s="86">
        <v>112</v>
      </c>
      <c r="AA265" s="81">
        <v>3.5699254449254444E-5</v>
      </c>
      <c r="AB265" s="52">
        <v>1.4159451659451663E-2</v>
      </c>
      <c r="AH265" s="40"/>
      <c r="AJ265" s="41"/>
      <c r="AK265" s="41"/>
      <c r="AL265" s="41"/>
      <c r="AP265" s="40"/>
      <c r="AQ265" s="40"/>
      <c r="AR265" s="41"/>
      <c r="AS265" s="41"/>
    </row>
    <row r="266" spans="1:45">
      <c r="A266" s="537" t="s">
        <v>822</v>
      </c>
      <c r="B266" s="81">
        <f>MATCH(A266,Шумоглушители!B$6:B$2000,0)</f>
        <v>21</v>
      </c>
      <c r="C266" s="82" t="str">
        <f ca="1">OFFSET(Шумоглушители!B$6,B266-1,0)</f>
        <v>Шумоглушитель LV-SDTA 500x250 E16</v>
      </c>
      <c r="D266" s="82" t="str">
        <f t="shared" ca="1" si="53"/>
        <v>LV-SDTA 500x250 E16</v>
      </c>
      <c r="E266" s="488">
        <f ca="1">OFFSET(Шумоглушители!C$6,B266-1,0)</f>
        <v>10245</v>
      </c>
      <c r="F266" s="145" t="s">
        <v>591</v>
      </c>
      <c r="G266" s="83" t="e">
        <f t="shared" si="48"/>
        <v>#REF!</v>
      </c>
      <c r="H266" s="84" t="e">
        <f t="shared" si="54"/>
        <v>#REF!</v>
      </c>
      <c r="I266" s="518" t="e">
        <f t="shared" si="55"/>
        <v>#REF!</v>
      </c>
      <c r="J266" s="86">
        <v>500</v>
      </c>
      <c r="K266" s="86">
        <v>250</v>
      </c>
      <c r="L266" s="81" t="str">
        <f t="shared" si="56"/>
        <v>500x250</v>
      </c>
      <c r="M266" s="87">
        <f t="shared" si="57"/>
        <v>0.125</v>
      </c>
      <c r="N266" s="88">
        <v>1150</v>
      </c>
      <c r="O266" s="108">
        <v>16</v>
      </c>
      <c r="P266" s="109" t="s">
        <v>52</v>
      </c>
      <c r="Q266" s="109"/>
      <c r="R266" s="109"/>
      <c r="S266" s="109"/>
      <c r="T266" s="109"/>
      <c r="U266" s="109"/>
      <c r="V266" s="109"/>
      <c r="W266" s="109">
        <v>900</v>
      </c>
      <c r="X266" s="86">
        <v>2475</v>
      </c>
      <c r="Y266" s="86">
        <v>8</v>
      </c>
      <c r="Z266" s="86">
        <v>54</v>
      </c>
      <c r="AA266" s="81">
        <v>8.209074875741543E-6</v>
      </c>
      <c r="AB266" s="52">
        <v>1.5007215007214999E-3</v>
      </c>
      <c r="AH266" s="40"/>
      <c r="AJ266" s="41"/>
      <c r="AK266" s="41"/>
      <c r="AL266" s="41"/>
      <c r="AP266" s="40"/>
      <c r="AQ266" s="40"/>
      <c r="AR266" s="41"/>
      <c r="AS266" s="41"/>
    </row>
    <row r="267" spans="1:45">
      <c r="A267" s="537" t="s">
        <v>823</v>
      </c>
      <c r="B267" s="81">
        <f>MATCH(A267,Шумоглушители!B$6:B$2000,0)</f>
        <v>22</v>
      </c>
      <c r="C267" s="82" t="str">
        <f ca="1">OFFSET(Шумоглушители!B$6,B267-1,0)</f>
        <v>Шумоглушитель LV-SDTA 500x300 E16</v>
      </c>
      <c r="D267" s="82" t="str">
        <f t="shared" ca="1" si="53"/>
        <v>LV-SDTA 500x300 E16</v>
      </c>
      <c r="E267" s="488">
        <f ca="1">OFFSET(Шумоглушители!C$6,B267-1,0)</f>
        <v>11041</v>
      </c>
      <c r="F267" s="145" t="s">
        <v>591</v>
      </c>
      <c r="G267" s="83" t="e">
        <f t="shared" si="48"/>
        <v>#REF!</v>
      </c>
      <c r="H267" s="84" t="e">
        <f t="shared" si="54"/>
        <v>#REF!</v>
      </c>
      <c r="I267" s="518" t="e">
        <f t="shared" si="55"/>
        <v>#REF!</v>
      </c>
      <c r="J267" s="86">
        <v>500</v>
      </c>
      <c r="K267" s="86">
        <v>300</v>
      </c>
      <c r="L267" s="81" t="str">
        <f t="shared" si="56"/>
        <v>500x300</v>
      </c>
      <c r="M267" s="87">
        <f t="shared" si="57"/>
        <v>0.15</v>
      </c>
      <c r="N267" s="88">
        <v>1150</v>
      </c>
      <c r="O267" s="108">
        <v>21</v>
      </c>
      <c r="P267" s="109" t="s">
        <v>52</v>
      </c>
      <c r="Q267" s="109"/>
      <c r="R267" s="109"/>
      <c r="S267" s="109"/>
      <c r="T267" s="109"/>
      <c r="U267" s="109"/>
      <c r="V267" s="109"/>
      <c r="W267" s="109">
        <v>1080</v>
      </c>
      <c r="X267" s="86">
        <v>2970</v>
      </c>
      <c r="Y267" s="86">
        <v>8</v>
      </c>
      <c r="Z267" s="86">
        <v>54</v>
      </c>
      <c r="AA267" s="81">
        <v>5.7007464414871817E-6</v>
      </c>
      <c r="AB267" s="52">
        <v>1.2506012506012512E-3</v>
      </c>
      <c r="AH267" s="40"/>
      <c r="AJ267" s="41"/>
      <c r="AK267" s="41"/>
      <c r="AL267" s="41"/>
      <c r="AP267" s="40"/>
      <c r="AQ267" s="40"/>
      <c r="AR267" s="41"/>
      <c r="AS267" s="41"/>
    </row>
    <row r="268" spans="1:45">
      <c r="A268" s="537" t="s">
        <v>824</v>
      </c>
      <c r="B268" s="81">
        <f>MATCH(A268,Шумоглушители!B$6:B$2000,0)</f>
        <v>23</v>
      </c>
      <c r="C268" s="82" t="str">
        <f ca="1">OFFSET(Шумоглушители!B$6,B268-1,0)</f>
        <v>Шумоглушитель LV-SDTA 600x300 E16</v>
      </c>
      <c r="D268" s="82" t="str">
        <f t="shared" ca="1" si="53"/>
        <v>LV-SDTA 600x300 E16</v>
      </c>
      <c r="E268" s="488">
        <f ca="1">OFFSET(Шумоглушители!C$6,B268-1,0)</f>
        <v>12177</v>
      </c>
      <c r="F268" s="145" t="s">
        <v>591</v>
      </c>
      <c r="G268" s="83" t="e">
        <f t="shared" si="48"/>
        <v>#REF!</v>
      </c>
      <c r="H268" s="84" t="e">
        <f t="shared" si="54"/>
        <v>#REF!</v>
      </c>
      <c r="I268" s="518" t="e">
        <f t="shared" si="55"/>
        <v>#REF!</v>
      </c>
      <c r="J268" s="86">
        <v>600</v>
      </c>
      <c r="K268" s="86">
        <v>300</v>
      </c>
      <c r="L268" s="81" t="str">
        <f t="shared" si="56"/>
        <v>600x300</v>
      </c>
      <c r="M268" s="87">
        <f t="shared" si="57"/>
        <v>0.18</v>
      </c>
      <c r="N268" s="88">
        <v>1150</v>
      </c>
      <c r="O268" s="108">
        <v>25</v>
      </c>
      <c r="P268" s="109" t="s">
        <v>52</v>
      </c>
      <c r="Q268" s="109"/>
      <c r="R268" s="109"/>
      <c r="S268" s="109"/>
      <c r="T268" s="109"/>
      <c r="U268" s="109"/>
      <c r="V268" s="109"/>
      <c r="W268" s="109">
        <v>1296</v>
      </c>
      <c r="X268" s="86">
        <v>3564</v>
      </c>
      <c r="Y268" s="86">
        <v>20</v>
      </c>
      <c r="Z268" s="86">
        <v>112</v>
      </c>
      <c r="AA268" s="81">
        <v>7.0517045825687814E-6</v>
      </c>
      <c r="AB268" s="52">
        <v>6.2930896264229569E-3</v>
      </c>
      <c r="AH268" s="40"/>
      <c r="AJ268" s="41"/>
      <c r="AK268" s="41"/>
      <c r="AL268" s="41"/>
      <c r="AP268" s="40"/>
      <c r="AQ268" s="40"/>
      <c r="AR268" s="41"/>
      <c r="AS268" s="41"/>
    </row>
    <row r="269" spans="1:45">
      <c r="A269" s="537" t="s">
        <v>825</v>
      </c>
      <c r="B269" s="81">
        <f>MATCH(A269,Шумоглушители!B$6:B$2000,0)</f>
        <v>24</v>
      </c>
      <c r="C269" s="82" t="str">
        <f ca="1">OFFSET(Шумоглушители!B$6,B269-1,0)</f>
        <v>Шумоглушитель LV-SDTA 600x350 E16</v>
      </c>
      <c r="D269" s="82" t="str">
        <f t="shared" ca="1" si="53"/>
        <v>LV-SDTA 600x350 E16</v>
      </c>
      <c r="E269" s="488">
        <f ca="1">OFFSET(Шумоглушители!C$6,B269-1,0)</f>
        <v>12408</v>
      </c>
      <c r="F269" s="145" t="s">
        <v>591</v>
      </c>
      <c r="G269" s="83" t="e">
        <f t="shared" si="48"/>
        <v>#REF!</v>
      </c>
      <c r="H269" s="84" t="e">
        <f t="shared" si="54"/>
        <v>#REF!</v>
      </c>
      <c r="I269" s="518" t="e">
        <f t="shared" si="55"/>
        <v>#REF!</v>
      </c>
      <c r="J269" s="86">
        <v>600</v>
      </c>
      <c r="K269" s="86">
        <v>350</v>
      </c>
      <c r="L269" s="81" t="str">
        <f t="shared" si="56"/>
        <v>600x350</v>
      </c>
      <c r="M269" s="87">
        <f t="shared" si="57"/>
        <v>0.21</v>
      </c>
      <c r="N269" s="88">
        <v>1150</v>
      </c>
      <c r="O269" s="108">
        <v>27</v>
      </c>
      <c r="P269" s="109" t="s">
        <v>52</v>
      </c>
      <c r="Q269" s="109"/>
      <c r="R269" s="109"/>
      <c r="S269" s="109"/>
      <c r="T269" s="109"/>
      <c r="U269" s="109"/>
      <c r="V269" s="109"/>
      <c r="W269" s="109">
        <v>1512</v>
      </c>
      <c r="X269" s="86">
        <v>4158</v>
      </c>
      <c r="Y269" s="86">
        <v>20</v>
      </c>
      <c r="Z269" s="86">
        <v>112</v>
      </c>
      <c r="AA269" s="81">
        <v>5.180844183111757E-6</v>
      </c>
      <c r="AB269" s="52">
        <v>5.394076822648251E-3</v>
      </c>
      <c r="AH269" s="40"/>
      <c r="AJ269" s="41"/>
      <c r="AK269" s="41"/>
      <c r="AL269" s="41"/>
      <c r="AP269" s="40"/>
      <c r="AQ269" s="40"/>
      <c r="AR269" s="41"/>
      <c r="AS269" s="41"/>
    </row>
    <row r="270" spans="1:45">
      <c r="A270" s="537" t="s">
        <v>826</v>
      </c>
      <c r="B270" s="81">
        <f>MATCH(A270,Шумоглушители!B$6:B$2000,0)</f>
        <v>25</v>
      </c>
      <c r="C270" s="82" t="str">
        <f ca="1">OFFSET(Шумоглушители!B$6,B270-1,0)</f>
        <v>Шумоглушитель LV-SDTA 700x400 E16</v>
      </c>
      <c r="D270" s="82" t="str">
        <f t="shared" ca="1" si="53"/>
        <v>LV-SDTA 700x400 E16</v>
      </c>
      <c r="E270" s="488">
        <f ca="1">OFFSET(Шумоглушители!C$6,B270-1,0)</f>
        <v>15591</v>
      </c>
      <c r="F270" s="145" t="s">
        <v>591</v>
      </c>
      <c r="G270" s="83" t="e">
        <f t="shared" si="48"/>
        <v>#REF!</v>
      </c>
      <c r="H270" s="84" t="e">
        <f t="shared" si="54"/>
        <v>#REF!</v>
      </c>
      <c r="I270" s="518" t="e">
        <f t="shared" si="55"/>
        <v>#REF!</v>
      </c>
      <c r="J270" s="86">
        <v>700</v>
      </c>
      <c r="K270" s="86">
        <v>400</v>
      </c>
      <c r="L270" s="81" t="str">
        <f t="shared" si="56"/>
        <v>700x400</v>
      </c>
      <c r="M270" s="87">
        <f t="shared" si="57"/>
        <v>0.28000000000000003</v>
      </c>
      <c r="N270" s="88">
        <v>1150</v>
      </c>
      <c r="O270" s="108">
        <v>30</v>
      </c>
      <c r="P270" s="109" t="s">
        <v>52</v>
      </c>
      <c r="Q270" s="109"/>
      <c r="R270" s="109"/>
      <c r="S270" s="109"/>
      <c r="T270" s="109"/>
      <c r="U270" s="109"/>
      <c r="V270" s="109"/>
      <c r="W270" s="109">
        <v>2016</v>
      </c>
      <c r="X270" s="86">
        <v>5544</v>
      </c>
      <c r="Y270" s="86">
        <v>12</v>
      </c>
      <c r="Z270" s="86">
        <v>85</v>
      </c>
      <c r="AA270" s="81">
        <v>2.6585910939652436E-6</v>
      </c>
      <c r="AB270" s="52">
        <v>5.9266130694702115E-4</v>
      </c>
      <c r="AH270" s="40"/>
      <c r="AJ270" s="41"/>
      <c r="AK270" s="41"/>
      <c r="AL270" s="41"/>
      <c r="AP270" s="40"/>
      <c r="AQ270" s="40"/>
      <c r="AR270" s="41"/>
      <c r="AS270" s="41"/>
    </row>
    <row r="271" spans="1:45">
      <c r="A271" s="537" t="s">
        <v>827</v>
      </c>
      <c r="B271" s="81">
        <f>MATCH(A271,Шумоглушители!B$6:B$2000,0)</f>
        <v>26</v>
      </c>
      <c r="C271" s="82" t="str">
        <f ca="1">OFFSET(Шумоглушители!B$6,B271-1,0)</f>
        <v>Шумоглушитель LV-SDTA 800x500 E16</v>
      </c>
      <c r="D271" s="82" t="str">
        <f t="shared" ca="1" si="53"/>
        <v>LV-SDTA 800x500 E16</v>
      </c>
      <c r="E271" s="488">
        <f ca="1">OFFSET(Шумоглушители!C$6,B271-1,0)</f>
        <v>18683</v>
      </c>
      <c r="F271" s="145" t="s">
        <v>591</v>
      </c>
      <c r="G271" s="83" t="e">
        <f t="shared" si="48"/>
        <v>#REF!</v>
      </c>
      <c r="H271" s="84" t="e">
        <f t="shared" si="54"/>
        <v>#REF!</v>
      </c>
      <c r="I271" s="518" t="e">
        <f t="shared" si="55"/>
        <v>#REF!</v>
      </c>
      <c r="J271" s="86">
        <v>800</v>
      </c>
      <c r="K271" s="86">
        <v>500</v>
      </c>
      <c r="L271" s="81" t="str">
        <f t="shared" si="56"/>
        <v>800x500</v>
      </c>
      <c r="M271" s="87">
        <f t="shared" si="57"/>
        <v>0.4</v>
      </c>
      <c r="N271" s="88">
        <v>1150</v>
      </c>
      <c r="O271" s="108">
        <v>33</v>
      </c>
      <c r="P271" s="109" t="s">
        <v>52</v>
      </c>
      <c r="Q271" s="109"/>
      <c r="R271" s="109"/>
      <c r="S271" s="109"/>
      <c r="T271" s="109"/>
      <c r="U271" s="109"/>
      <c r="V271" s="109"/>
      <c r="W271" s="109">
        <v>2880</v>
      </c>
      <c r="X271" s="86">
        <v>7920</v>
      </c>
      <c r="Y271" s="86">
        <v>20</v>
      </c>
      <c r="Z271" s="86">
        <v>112</v>
      </c>
      <c r="AA271" s="81">
        <v>1.4279701779701783E-6</v>
      </c>
      <c r="AB271" s="52">
        <v>2.8318903318903304E-3</v>
      </c>
      <c r="AH271" s="40"/>
      <c r="AJ271" s="41"/>
      <c r="AK271" s="41"/>
      <c r="AL271" s="41"/>
      <c r="AP271" s="40"/>
      <c r="AQ271" s="40"/>
      <c r="AR271" s="41"/>
      <c r="AS271" s="41"/>
    </row>
    <row r="272" spans="1:45">
      <c r="A272" s="537" t="s">
        <v>828</v>
      </c>
      <c r="B272" s="81">
        <f>MATCH(A272,Шумоглушители!B$6:B$2000,0)</f>
        <v>27</v>
      </c>
      <c r="C272" s="82" t="str">
        <f ca="1">OFFSET(Шумоглушители!B$6,B272-1,0)</f>
        <v>Шумоглушитель LV-SDTA 900x500 E16</v>
      </c>
      <c r="D272" s="82" t="str">
        <f t="shared" ca="1" si="53"/>
        <v>LV-SDTA 900x500 E16</v>
      </c>
      <c r="E272" s="488">
        <f ca="1">OFFSET(Шумоглушители!C$6,B272-1,0)</f>
        <v>22927</v>
      </c>
      <c r="F272" s="145" t="s">
        <v>591</v>
      </c>
      <c r="G272" s="83" t="e">
        <f t="shared" si="48"/>
        <v>#REF!</v>
      </c>
      <c r="H272" s="84" t="e">
        <f t="shared" si="54"/>
        <v>#REF!</v>
      </c>
      <c r="I272" s="518" t="e">
        <f t="shared" si="55"/>
        <v>#REF!</v>
      </c>
      <c r="J272" s="86">
        <v>900</v>
      </c>
      <c r="K272" s="86">
        <v>500</v>
      </c>
      <c r="L272" s="81" t="str">
        <f t="shared" si="56"/>
        <v>900x500</v>
      </c>
      <c r="M272" s="87">
        <f t="shared" si="57"/>
        <v>0.45</v>
      </c>
      <c r="N272" s="88">
        <v>1150</v>
      </c>
      <c r="O272" s="108">
        <v>35</v>
      </c>
      <c r="P272" s="109" t="s">
        <v>52</v>
      </c>
      <c r="Q272" s="109"/>
      <c r="R272" s="109"/>
      <c r="S272" s="109"/>
      <c r="T272" s="109"/>
      <c r="U272" s="109"/>
      <c r="V272" s="109"/>
      <c r="W272" s="109">
        <v>3240</v>
      </c>
      <c r="X272" s="86">
        <v>8910</v>
      </c>
      <c r="Y272" s="86">
        <v>12</v>
      </c>
      <c r="Z272" s="86">
        <v>85</v>
      </c>
      <c r="AA272" s="81">
        <v>1.0293014408240745E-6</v>
      </c>
      <c r="AB272" s="52">
        <v>3.6876703543370229E-4</v>
      </c>
      <c r="AH272" s="40"/>
      <c r="AJ272" s="41"/>
      <c r="AK272" s="41"/>
      <c r="AL272" s="41"/>
      <c r="AP272" s="40"/>
      <c r="AQ272" s="40"/>
      <c r="AR272" s="41"/>
      <c r="AS272" s="41"/>
    </row>
    <row r="273" spans="1:45">
      <c r="A273" s="541" t="s">
        <v>829</v>
      </c>
      <c r="B273" s="110">
        <f>MATCH(A273,Шумоглушители!B$6:B$2000,0)</f>
        <v>28</v>
      </c>
      <c r="C273" s="111" t="str">
        <f ca="1">OFFSET(Шумоглушители!B$6,B273-1,0)</f>
        <v>Шумоглушитель LV-SDTA 1000x500 E16</v>
      </c>
      <c r="D273" s="111" t="str">
        <f t="shared" ca="1" si="53"/>
        <v>LV-SDTA 1000x500 E16</v>
      </c>
      <c r="E273" s="490">
        <f ca="1">OFFSET(Шумоглушители!C$6,B273-1,0)</f>
        <v>23417</v>
      </c>
      <c r="F273" s="508" t="s">
        <v>591</v>
      </c>
      <c r="G273" s="112" t="e">
        <f t="shared" si="48"/>
        <v>#REF!</v>
      </c>
      <c r="H273" s="113" t="e">
        <f t="shared" si="54"/>
        <v>#REF!</v>
      </c>
      <c r="I273" s="521" t="e">
        <f t="shared" si="55"/>
        <v>#REF!</v>
      </c>
      <c r="J273" s="109">
        <v>1000</v>
      </c>
      <c r="K273" s="109">
        <v>500</v>
      </c>
      <c r="L273" s="110" t="str">
        <f t="shared" si="56"/>
        <v>1000x500</v>
      </c>
      <c r="M273" s="114">
        <f t="shared" si="57"/>
        <v>0.5</v>
      </c>
      <c r="N273" s="115">
        <v>1150</v>
      </c>
      <c r="O273" s="108">
        <v>40</v>
      </c>
      <c r="P273" s="109" t="s">
        <v>52</v>
      </c>
      <c r="Q273" s="109"/>
      <c r="R273" s="109"/>
      <c r="S273" s="109"/>
      <c r="T273" s="109"/>
      <c r="U273" s="109"/>
      <c r="V273" s="109"/>
      <c r="W273" s="109">
        <v>3600</v>
      </c>
      <c r="X273" s="109">
        <v>9900</v>
      </c>
      <c r="Y273" s="109">
        <v>20</v>
      </c>
      <c r="Z273" s="109">
        <v>112</v>
      </c>
      <c r="AA273" s="110">
        <v>9.1390091390091385E-7</v>
      </c>
      <c r="AB273" s="116">
        <v>2.2655122655122657E-3</v>
      </c>
      <c r="AH273" s="40"/>
      <c r="AJ273" s="41"/>
      <c r="AK273" s="41"/>
      <c r="AL273" s="41"/>
      <c r="AP273" s="40"/>
      <c r="AQ273" s="40"/>
      <c r="AR273" s="41"/>
      <c r="AS273" s="41"/>
    </row>
    <row r="274" spans="1:45">
      <c r="A274" s="538" t="s">
        <v>830</v>
      </c>
      <c r="B274" s="77">
        <f>MATCH(A274,Шумоглушители!B$6:B$2000,0)</f>
        <v>30</v>
      </c>
      <c r="C274" s="78" t="str">
        <f ca="1">OFFSET(Шумоглушители!B$6,B274-1,0)</f>
        <v>Шумоглушитель LV-SDQA 250 E16</v>
      </c>
      <c r="D274" s="78" t="str">
        <f t="shared" ca="1" si="47"/>
        <v>LV-SDQA 250 E16</v>
      </c>
      <c r="E274" s="489">
        <f ca="1">OFFSET(Шумоглушители!C$6,B274-1,0)</f>
        <v>36900</v>
      </c>
      <c r="F274" s="500" t="s">
        <v>591</v>
      </c>
      <c r="G274" s="101" t="e">
        <f t="shared" si="48"/>
        <v>#REF!</v>
      </c>
      <c r="H274" s="102" t="e">
        <f t="shared" si="49"/>
        <v>#REF!</v>
      </c>
      <c r="I274" s="520" t="e">
        <f t="shared" si="50"/>
        <v>#REF!</v>
      </c>
      <c r="J274" s="103">
        <v>350</v>
      </c>
      <c r="K274" s="104">
        <v>350</v>
      </c>
      <c r="L274" s="77" t="str">
        <f t="shared" si="51"/>
        <v>350x350</v>
      </c>
      <c r="M274" s="105">
        <f t="shared" si="52"/>
        <v>0.1225</v>
      </c>
      <c r="N274" s="106">
        <v>1100</v>
      </c>
      <c r="O274" s="107">
        <v>30</v>
      </c>
      <c r="P274" s="104" t="s">
        <v>52</v>
      </c>
      <c r="Q274" s="104"/>
      <c r="R274" s="104"/>
      <c r="S274" s="104"/>
      <c r="T274" s="104"/>
      <c r="U274" s="104"/>
      <c r="V274" s="104"/>
      <c r="W274" s="109"/>
      <c r="X274" s="86"/>
      <c r="Y274" s="86"/>
      <c r="Z274" s="86"/>
      <c r="AA274" s="81"/>
      <c r="AB274" s="52"/>
      <c r="AH274" s="40"/>
      <c r="AJ274" s="41"/>
      <c r="AK274" s="41"/>
      <c r="AL274" s="41"/>
      <c r="AP274" s="40"/>
      <c r="AQ274" s="40"/>
      <c r="AR274" s="41"/>
      <c r="AS274" s="41"/>
    </row>
    <row r="275" spans="1:45">
      <c r="A275" s="537" t="s">
        <v>831</v>
      </c>
      <c r="B275" s="81">
        <f>MATCH(A275,Шумоглушители!B$6:B$2000,0)</f>
        <v>31</v>
      </c>
      <c r="C275" s="82" t="str">
        <f ca="1">OFFSET(Шумоглушители!B$6,B275-1,0)</f>
        <v>Шумоглушитель LV-SDQA 280 E16</v>
      </c>
      <c r="D275" s="82" t="str">
        <f t="shared" ca="1" si="47"/>
        <v>LV-SDQA 280 E16</v>
      </c>
      <c r="E275" s="488">
        <f ca="1">OFFSET(Шумоглушители!C$6,B275-1,0)</f>
        <v>44142</v>
      </c>
      <c r="F275" s="145" t="s">
        <v>591</v>
      </c>
      <c r="G275" s="83" t="e">
        <f t="shared" si="48"/>
        <v>#REF!</v>
      </c>
      <c r="H275" s="84" t="e">
        <f t="shared" si="49"/>
        <v>#REF!</v>
      </c>
      <c r="I275" s="518" t="e">
        <f t="shared" si="50"/>
        <v>#REF!</v>
      </c>
      <c r="J275" s="86">
        <v>400</v>
      </c>
      <c r="K275" s="86">
        <v>400</v>
      </c>
      <c r="L275" s="81" t="str">
        <f t="shared" si="51"/>
        <v>400x400</v>
      </c>
      <c r="M275" s="87">
        <f t="shared" si="52"/>
        <v>0.16</v>
      </c>
      <c r="N275" s="88">
        <v>1100</v>
      </c>
      <c r="O275" s="108">
        <v>32</v>
      </c>
      <c r="P275" s="109" t="s">
        <v>52</v>
      </c>
      <c r="Q275" s="109"/>
      <c r="R275" s="109"/>
      <c r="S275" s="109"/>
      <c r="T275" s="109"/>
      <c r="U275" s="109"/>
      <c r="V275" s="109"/>
      <c r="W275" s="109"/>
      <c r="X275" s="86"/>
      <c r="Y275" s="86"/>
      <c r="Z275" s="86"/>
      <c r="AA275" s="81"/>
      <c r="AB275" s="52"/>
      <c r="AH275" s="40"/>
      <c r="AJ275" s="41"/>
      <c r="AK275" s="41"/>
      <c r="AL275" s="41"/>
      <c r="AP275" s="40"/>
      <c r="AQ275" s="40"/>
      <c r="AR275" s="41"/>
      <c r="AS275" s="41"/>
    </row>
    <row r="276" spans="1:45">
      <c r="A276" s="537" t="s">
        <v>832</v>
      </c>
      <c r="B276" s="81" t="e">
        <f>MATCH(A276,Шумоглушители!B$6:B$2000,0)</f>
        <v>#N/A</v>
      </c>
      <c r="C276" s="82" t="e">
        <f ca="1">OFFSET(Шумоглушители!B$6,B276-1,0)</f>
        <v>#N/A</v>
      </c>
      <c r="D276" s="82" t="e">
        <f t="shared" ca="1" si="47"/>
        <v>#N/A</v>
      </c>
      <c r="E276" s="488" t="e">
        <f ca="1">OFFSET(Шумоглушители!C$6,B276-1,0)</f>
        <v>#N/A</v>
      </c>
      <c r="F276" s="145" t="s">
        <v>591</v>
      </c>
      <c r="G276" s="83" t="e">
        <f t="shared" si="48"/>
        <v>#REF!</v>
      </c>
      <c r="H276" s="84" t="e">
        <f t="shared" si="49"/>
        <v>#REF!</v>
      </c>
      <c r="I276" s="518" t="e">
        <f t="shared" si="50"/>
        <v>#REF!</v>
      </c>
      <c r="J276" s="86">
        <v>450</v>
      </c>
      <c r="K276" s="86">
        <v>450</v>
      </c>
      <c r="L276" s="81" t="str">
        <f t="shared" si="51"/>
        <v>450x450</v>
      </c>
      <c r="M276" s="87">
        <f t="shared" si="52"/>
        <v>0.20250000000000001</v>
      </c>
      <c r="N276" s="88">
        <v>1100</v>
      </c>
      <c r="O276" s="108">
        <v>35</v>
      </c>
      <c r="P276" s="109" t="s">
        <v>52</v>
      </c>
      <c r="Q276" s="109"/>
      <c r="R276" s="109"/>
      <c r="S276" s="109"/>
      <c r="T276" s="109"/>
      <c r="U276" s="109"/>
      <c r="V276" s="109"/>
      <c r="W276" s="109"/>
      <c r="X276" s="86"/>
      <c r="Y276" s="86"/>
      <c r="Z276" s="86"/>
      <c r="AA276" s="81"/>
      <c r="AB276" s="52"/>
      <c r="AH276" s="40"/>
      <c r="AJ276" s="41"/>
      <c r="AK276" s="41"/>
      <c r="AL276" s="41"/>
      <c r="AP276" s="40"/>
      <c r="AQ276" s="40"/>
      <c r="AR276" s="41"/>
      <c r="AS276" s="41"/>
    </row>
    <row r="277" spans="1:45">
      <c r="A277" s="537" t="s">
        <v>833</v>
      </c>
      <c r="B277" s="81">
        <f>MATCH(A277,Шумоглушители!B$6:B$2000,0)</f>
        <v>33</v>
      </c>
      <c r="C277" s="82" t="str">
        <f ca="1">OFFSET(Шумоглушители!B$6,B277-1,0)</f>
        <v>Шумоглушитель LV-SDQA 355 E16</v>
      </c>
      <c r="D277" s="82" t="str">
        <f t="shared" ca="1" si="47"/>
        <v>LV-SDQA 355 E16</v>
      </c>
      <c r="E277" s="488">
        <f ca="1">OFFSET(Шумоглушители!C$6,B277-1,0)</f>
        <v>56081</v>
      </c>
      <c r="F277" s="145" t="s">
        <v>591</v>
      </c>
      <c r="G277" s="83" t="e">
        <f t="shared" si="48"/>
        <v>#REF!</v>
      </c>
      <c r="H277" s="84" t="e">
        <f t="shared" si="49"/>
        <v>#REF!</v>
      </c>
      <c r="I277" s="518" t="e">
        <f t="shared" si="50"/>
        <v>#REF!</v>
      </c>
      <c r="J277" s="86">
        <v>500</v>
      </c>
      <c r="K277" s="86">
        <v>500</v>
      </c>
      <c r="L277" s="81" t="str">
        <f t="shared" si="51"/>
        <v>500x500</v>
      </c>
      <c r="M277" s="87">
        <f t="shared" si="52"/>
        <v>0.25</v>
      </c>
      <c r="N277" s="88">
        <v>1100</v>
      </c>
      <c r="O277" s="108">
        <v>38</v>
      </c>
      <c r="P277" s="109" t="s">
        <v>52</v>
      </c>
      <c r="Q277" s="109"/>
      <c r="R277" s="109"/>
      <c r="S277" s="109"/>
      <c r="T277" s="109"/>
      <c r="U277" s="109"/>
      <c r="V277" s="109"/>
      <c r="W277" s="109"/>
      <c r="X277" s="86"/>
      <c r="Y277" s="86"/>
      <c r="Z277" s="86"/>
      <c r="AA277" s="81"/>
      <c r="AB277" s="52"/>
      <c r="AH277" s="40"/>
      <c r="AJ277" s="41"/>
      <c r="AK277" s="41"/>
      <c r="AL277" s="41"/>
      <c r="AP277" s="40"/>
      <c r="AQ277" s="40"/>
      <c r="AR277" s="41"/>
      <c r="AS277" s="41"/>
    </row>
    <row r="278" spans="1:45">
      <c r="A278" s="537" t="s">
        <v>834</v>
      </c>
      <c r="B278" s="81">
        <f>MATCH(A278,Шумоглушители!B$6:B$2000,0)</f>
        <v>34</v>
      </c>
      <c r="C278" s="82" t="str">
        <f ca="1">OFFSET(Шумоглушители!B$6,B278-1,0)</f>
        <v>Шумоглушитель LV-SDQA 400 E16</v>
      </c>
      <c r="D278" s="82" t="str">
        <f t="shared" ca="1" si="47"/>
        <v>LV-SDQA 400 E16</v>
      </c>
      <c r="E278" s="488">
        <f ca="1">OFFSET(Шумоглушители!C$6,B278-1,0)</f>
        <v>59987</v>
      </c>
      <c r="F278" s="145" t="s">
        <v>591</v>
      </c>
      <c r="G278" s="83" t="e">
        <f t="shared" si="48"/>
        <v>#REF!</v>
      </c>
      <c r="H278" s="84" t="e">
        <f t="shared" si="49"/>
        <v>#REF!</v>
      </c>
      <c r="I278" s="518" t="e">
        <f t="shared" si="50"/>
        <v>#REF!</v>
      </c>
      <c r="J278" s="86">
        <v>550</v>
      </c>
      <c r="K278" s="86">
        <v>550</v>
      </c>
      <c r="L278" s="81" t="str">
        <f t="shared" si="51"/>
        <v>550x550</v>
      </c>
      <c r="M278" s="87">
        <f t="shared" si="52"/>
        <v>0.30249999999999999</v>
      </c>
      <c r="N278" s="88">
        <v>1100</v>
      </c>
      <c r="O278" s="108">
        <v>41</v>
      </c>
      <c r="P278" s="109" t="s">
        <v>52</v>
      </c>
      <c r="Q278" s="109"/>
      <c r="R278" s="109"/>
      <c r="S278" s="109"/>
      <c r="T278" s="109"/>
      <c r="U278" s="109"/>
      <c r="V278" s="109"/>
      <c r="W278" s="109"/>
      <c r="X278" s="86"/>
      <c r="Y278" s="86"/>
      <c r="Z278" s="86"/>
      <c r="AA278" s="81"/>
      <c r="AB278" s="52"/>
      <c r="AH278" s="40"/>
      <c r="AJ278" s="41"/>
      <c r="AK278" s="41"/>
      <c r="AL278" s="41"/>
      <c r="AP278" s="40"/>
      <c r="AQ278" s="40"/>
      <c r="AR278" s="41"/>
      <c r="AS278" s="41"/>
    </row>
    <row r="279" spans="1:45">
      <c r="A279" s="537" t="s">
        <v>835</v>
      </c>
      <c r="B279" s="81">
        <f>MATCH(A279,Шумоглушители!B$6:B$2000,0)</f>
        <v>35</v>
      </c>
      <c r="C279" s="82" t="str">
        <f ca="1">OFFSET(Шумоглушители!B$6,B279-1,0)</f>
        <v>Шумоглушитель LV-SDQA 450 E16</v>
      </c>
      <c r="D279" s="82" t="str">
        <f t="shared" ca="1" si="47"/>
        <v>LV-SDQA 450 E16</v>
      </c>
      <c r="E279" s="488">
        <f ca="1">OFFSET(Шумоглушители!C$6,B279-1,0)</f>
        <v>70513</v>
      </c>
      <c r="F279" s="145" t="s">
        <v>591</v>
      </c>
      <c r="G279" s="83" t="e">
        <f t="shared" si="48"/>
        <v>#REF!</v>
      </c>
      <c r="H279" s="84" t="e">
        <f t="shared" si="49"/>
        <v>#REF!</v>
      </c>
      <c r="I279" s="518" t="e">
        <f t="shared" si="50"/>
        <v>#REF!</v>
      </c>
      <c r="J279" s="86">
        <v>630</v>
      </c>
      <c r="K279" s="86">
        <v>630</v>
      </c>
      <c r="L279" s="81" t="str">
        <f t="shared" si="51"/>
        <v>630x630</v>
      </c>
      <c r="M279" s="87">
        <f t="shared" si="52"/>
        <v>0.39689999999999998</v>
      </c>
      <c r="N279" s="88">
        <v>1100</v>
      </c>
      <c r="O279" s="108">
        <v>45</v>
      </c>
      <c r="P279" s="109" t="s">
        <v>52</v>
      </c>
      <c r="Q279" s="109"/>
      <c r="R279" s="109"/>
      <c r="S279" s="109"/>
      <c r="T279" s="109"/>
      <c r="U279" s="109"/>
      <c r="V279" s="109"/>
      <c r="W279" s="109"/>
      <c r="X279" s="86"/>
      <c r="Y279" s="86"/>
      <c r="Z279" s="86"/>
      <c r="AA279" s="81"/>
      <c r="AB279" s="52"/>
      <c r="AH279" s="40"/>
      <c r="AJ279" s="41"/>
      <c r="AK279" s="41"/>
      <c r="AL279" s="41"/>
      <c r="AP279" s="40"/>
      <c r="AQ279" s="40"/>
      <c r="AR279" s="41"/>
      <c r="AS279" s="41"/>
    </row>
    <row r="280" spans="1:45">
      <c r="A280" s="537" t="s">
        <v>836</v>
      </c>
      <c r="B280" s="81">
        <f>MATCH(A280,Шумоглушители!B$6:B$2000,0)</f>
        <v>36</v>
      </c>
      <c r="C280" s="82" t="str">
        <f ca="1">OFFSET(Шумоглушители!B$6,B280-1,0)</f>
        <v>Шумоглушитель LV-SDQA 500 E16</v>
      </c>
      <c r="D280" s="82" t="str">
        <f t="shared" ca="1" si="47"/>
        <v>LV-SDQA 500 E16</v>
      </c>
      <c r="E280" s="488">
        <f ca="1">OFFSET(Шумоглушители!C$6,B280-1,0)</f>
        <v>77588</v>
      </c>
      <c r="F280" s="145" t="s">
        <v>591</v>
      </c>
      <c r="G280" s="83" t="e">
        <f t="shared" si="48"/>
        <v>#REF!</v>
      </c>
      <c r="H280" s="84" t="e">
        <f t="shared" si="49"/>
        <v>#REF!</v>
      </c>
      <c r="I280" s="518" t="e">
        <f t="shared" si="50"/>
        <v>#REF!</v>
      </c>
      <c r="J280" s="86">
        <v>700</v>
      </c>
      <c r="K280" s="86">
        <v>700</v>
      </c>
      <c r="L280" s="81" t="str">
        <f t="shared" si="51"/>
        <v>700x700</v>
      </c>
      <c r="M280" s="87">
        <f t="shared" si="52"/>
        <v>0.49</v>
      </c>
      <c r="N280" s="88">
        <v>1100</v>
      </c>
      <c r="O280" s="108">
        <v>52</v>
      </c>
      <c r="P280" s="109" t="s">
        <v>52</v>
      </c>
      <c r="Q280" s="109"/>
      <c r="R280" s="109"/>
      <c r="S280" s="109"/>
      <c r="T280" s="109"/>
      <c r="U280" s="109"/>
      <c r="V280" s="109"/>
      <c r="W280" s="109"/>
      <c r="X280" s="86"/>
      <c r="Y280" s="86"/>
      <c r="Z280" s="86"/>
      <c r="AA280" s="81"/>
      <c r="AB280" s="52"/>
      <c r="AH280" s="40"/>
      <c r="AJ280" s="41"/>
      <c r="AK280" s="41"/>
      <c r="AL280" s="41"/>
      <c r="AP280" s="40"/>
      <c r="AQ280" s="40"/>
      <c r="AR280" s="41"/>
      <c r="AS280" s="41"/>
    </row>
    <row r="281" spans="1:45">
      <c r="A281" s="537" t="s">
        <v>837</v>
      </c>
      <c r="B281" s="81">
        <f>MATCH(A281,Шумоглушители!B$6:B$2000,0)</f>
        <v>37</v>
      </c>
      <c r="C281" s="82" t="str">
        <f ca="1">OFFSET(Шумоглушители!B$6,B281-1,0)</f>
        <v>Шумоглушитель LV-SDQA 560 E16</v>
      </c>
      <c r="D281" s="82" t="str">
        <f t="shared" ca="1" si="47"/>
        <v>LV-SDQA 560 E16</v>
      </c>
      <c r="E281" s="488">
        <f ca="1">OFFSET(Шумоглушители!C$6,B281-1,0)</f>
        <v>81533</v>
      </c>
      <c r="F281" s="145" t="s">
        <v>591</v>
      </c>
      <c r="G281" s="83" t="e">
        <f t="shared" si="48"/>
        <v>#REF!</v>
      </c>
      <c r="H281" s="84" t="e">
        <f t="shared" si="49"/>
        <v>#REF!</v>
      </c>
      <c r="I281" s="518" t="e">
        <f t="shared" si="50"/>
        <v>#REF!</v>
      </c>
      <c r="J281" s="86">
        <v>750</v>
      </c>
      <c r="K281" s="86">
        <v>750</v>
      </c>
      <c r="L281" s="81" t="str">
        <f t="shared" si="51"/>
        <v>750x750</v>
      </c>
      <c r="M281" s="87">
        <f t="shared" si="52"/>
        <v>0.5625</v>
      </c>
      <c r="N281" s="88">
        <v>1100</v>
      </c>
      <c r="O281" s="108">
        <v>57</v>
      </c>
      <c r="P281" s="109" t="s">
        <v>52</v>
      </c>
      <c r="Q281" s="109"/>
      <c r="R281" s="109"/>
      <c r="S281" s="109"/>
      <c r="T281" s="109"/>
      <c r="U281" s="109"/>
      <c r="V281" s="109"/>
      <c r="W281" s="109"/>
      <c r="X281" s="86"/>
      <c r="Y281" s="86"/>
      <c r="Z281" s="86"/>
      <c r="AA281" s="81"/>
      <c r="AB281" s="52"/>
      <c r="AH281" s="40"/>
      <c r="AJ281" s="41"/>
      <c r="AK281" s="41"/>
      <c r="AL281" s="41"/>
      <c r="AP281" s="40"/>
      <c r="AQ281" s="40"/>
      <c r="AR281" s="41"/>
      <c r="AS281" s="41"/>
    </row>
    <row r="282" spans="1:45">
      <c r="A282" s="537" t="s">
        <v>838</v>
      </c>
      <c r="B282" s="81">
        <f>MATCH(A282,Шумоглушители!B$6:B$2000,0)</f>
        <v>38</v>
      </c>
      <c r="C282" s="82" t="str">
        <f ca="1">OFFSET(Шумоглушители!B$6,B282-1,0)</f>
        <v>Шумоглушитель LV-SDQA 630 E16</v>
      </c>
      <c r="D282" s="82" t="str">
        <f t="shared" ca="1" si="47"/>
        <v>LV-SDQA 630 E16</v>
      </c>
      <c r="E282" s="488">
        <f ca="1">OFFSET(Шумоглушители!C$6,B282-1,0)</f>
        <v>98222</v>
      </c>
      <c r="F282" s="145" t="s">
        <v>591</v>
      </c>
      <c r="G282" s="83" t="e">
        <f t="shared" si="48"/>
        <v>#REF!</v>
      </c>
      <c r="H282" s="84" t="e">
        <f t="shared" si="49"/>
        <v>#REF!</v>
      </c>
      <c r="I282" s="518" t="e">
        <f t="shared" si="50"/>
        <v>#REF!</v>
      </c>
      <c r="J282" s="86">
        <v>850</v>
      </c>
      <c r="K282" s="86">
        <v>850</v>
      </c>
      <c r="L282" s="81" t="str">
        <f t="shared" si="51"/>
        <v>850x850</v>
      </c>
      <c r="M282" s="87">
        <f t="shared" si="52"/>
        <v>0.72250000000000003</v>
      </c>
      <c r="N282" s="88">
        <v>1100</v>
      </c>
      <c r="O282" s="108">
        <v>63</v>
      </c>
      <c r="P282" s="109" t="s">
        <v>52</v>
      </c>
      <c r="Q282" s="109"/>
      <c r="R282" s="109"/>
      <c r="S282" s="109"/>
      <c r="T282" s="109"/>
      <c r="U282" s="109"/>
      <c r="V282" s="109"/>
      <c r="W282" s="109"/>
      <c r="X282" s="86"/>
      <c r="Y282" s="86"/>
      <c r="Z282" s="86"/>
      <c r="AA282" s="81"/>
      <c r="AB282" s="52"/>
      <c r="AH282" s="40"/>
      <c r="AJ282" s="41"/>
      <c r="AK282" s="41"/>
      <c r="AL282" s="41"/>
      <c r="AP282" s="40"/>
      <c r="AQ282" s="40"/>
      <c r="AR282" s="41"/>
      <c r="AS282" s="41"/>
    </row>
    <row r="283" spans="1:45">
      <c r="A283" s="541" t="s">
        <v>839</v>
      </c>
      <c r="B283" s="110">
        <f>MATCH(A283,Шумоглушители!B$6:B$2000,0)</f>
        <v>39</v>
      </c>
      <c r="C283" s="111" t="str">
        <f ca="1">OFFSET(Шумоглушители!B$6,B283-1,0)</f>
        <v>Шумоглушитель LV-SDQA 710 E16</v>
      </c>
      <c r="D283" s="111" t="str">
        <f t="shared" ca="1" si="47"/>
        <v>LV-SDQA 710 E16</v>
      </c>
      <c r="E283" s="490">
        <f ca="1">OFFSET(Шумоглушители!C$6,B283-1,0)</f>
        <v>121815</v>
      </c>
      <c r="F283" s="508" t="s">
        <v>591</v>
      </c>
      <c r="G283" s="112" t="e">
        <f t="shared" si="48"/>
        <v>#REF!</v>
      </c>
      <c r="H283" s="113" t="e">
        <f t="shared" si="49"/>
        <v>#REF!</v>
      </c>
      <c r="I283" s="521" t="e">
        <f t="shared" si="50"/>
        <v>#REF!</v>
      </c>
      <c r="J283" s="109">
        <v>1000</v>
      </c>
      <c r="K283" s="109">
        <v>1000</v>
      </c>
      <c r="L283" s="110" t="str">
        <f t="shared" si="51"/>
        <v>1000x1000</v>
      </c>
      <c r="M283" s="114">
        <f t="shared" si="52"/>
        <v>1</v>
      </c>
      <c r="N283" s="115">
        <v>1100</v>
      </c>
      <c r="O283" s="108">
        <v>70</v>
      </c>
      <c r="P283" s="109" t="s">
        <v>52</v>
      </c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10"/>
      <c r="AB283" s="116"/>
      <c r="AH283" s="40"/>
      <c r="AJ283" s="41"/>
      <c r="AK283" s="41"/>
      <c r="AL283" s="41"/>
      <c r="AP283" s="40"/>
      <c r="AQ283" s="40"/>
      <c r="AR283" s="41"/>
      <c r="AS283" s="41"/>
    </row>
    <row r="285" spans="1:45">
      <c r="A285" s="39" t="s">
        <v>167</v>
      </c>
    </row>
    <row r="286" spans="1:45">
      <c r="A286" s="42" t="s">
        <v>60</v>
      </c>
      <c r="B286" s="43" t="s">
        <v>85</v>
      </c>
      <c r="C286" s="43" t="s">
        <v>86</v>
      </c>
      <c r="D286" s="43" t="s">
        <v>87</v>
      </c>
      <c r="E286" s="43" t="s">
        <v>22</v>
      </c>
      <c r="F286" s="43" t="s">
        <v>595</v>
      </c>
      <c r="G286" s="43" t="s">
        <v>125</v>
      </c>
      <c r="H286" s="43" t="s">
        <v>88</v>
      </c>
      <c r="I286" s="43" t="s">
        <v>310</v>
      </c>
      <c r="J286" s="43" t="s">
        <v>92</v>
      </c>
      <c r="K286" s="43" t="s">
        <v>93</v>
      </c>
      <c r="L286" s="43" t="s">
        <v>94</v>
      </c>
      <c r="M286" s="43" t="s">
        <v>126</v>
      </c>
      <c r="N286" s="43" t="s">
        <v>95</v>
      </c>
      <c r="O286" s="43" t="s">
        <v>96</v>
      </c>
      <c r="P286" s="43" t="s">
        <v>127</v>
      </c>
      <c r="Q286" s="43" t="s">
        <v>606</v>
      </c>
      <c r="R286" s="43" t="s">
        <v>607</v>
      </c>
      <c r="S286" s="43" t="s">
        <v>608</v>
      </c>
      <c r="T286" s="43" t="s">
        <v>304</v>
      </c>
      <c r="U286" s="43" t="s">
        <v>305</v>
      </c>
      <c r="V286" s="270"/>
      <c r="W286" s="43" t="s">
        <v>102</v>
      </c>
      <c r="X286" s="43" t="s">
        <v>103</v>
      </c>
      <c r="Y286" s="43" t="s">
        <v>109</v>
      </c>
      <c r="Z286" s="43" t="s">
        <v>110</v>
      </c>
      <c r="AA286" s="43" t="s">
        <v>128</v>
      </c>
      <c r="AB286" s="43" t="s">
        <v>129</v>
      </c>
      <c r="AH286" s="40"/>
      <c r="AJ286" s="41"/>
      <c r="AK286" s="41"/>
      <c r="AL286" s="41"/>
      <c r="AP286" s="40"/>
      <c r="AQ286" s="40"/>
      <c r="AR286" s="41"/>
      <c r="AS286" s="41"/>
    </row>
    <row r="287" spans="1:45">
      <c r="A287" s="537" t="s">
        <v>948</v>
      </c>
      <c r="B287" s="81">
        <f>MATCH(A287,Нагреватели!B$7:B$2018,0)</f>
        <v>5</v>
      </c>
      <c r="C287" s="82" t="e">
        <f ca="1">OFFSET(Нагреватели!#REF!,B287-1,0)</f>
        <v>#REF!</v>
      </c>
      <c r="D287" s="82" t="e">
        <f t="shared" ref="D287:D350" ca="1" si="58">RIGHT(C287,LEN(C287)+1-SEARCH("LV-",C287,1))</f>
        <v>#REF!</v>
      </c>
      <c r="E287" s="488" t="e">
        <f ca="1">OFFSET(Нагреватели!#REF!,B287-1,0)</f>
        <v>#REF!</v>
      </c>
      <c r="F287" s="145" t="s">
        <v>591</v>
      </c>
      <c r="G287" s="83" t="e">
        <f t="shared" ref="G287:G318" si="59">Задача_Расход/$M287/3600</f>
        <v>#REF!</v>
      </c>
      <c r="H287" s="84" t="e">
        <f t="shared" ref="H287:H318" si="60">Задача_Расход*(Задача_Расход*AA287+AB287)</f>
        <v>#REF!</v>
      </c>
      <c r="I287" s="518" t="str">
        <f t="shared" ref="I287:I318" si="61">CONCATENATE($L287,"=",IFERROR(AND(P287=Задача_НагревательТипТекст,Q287&gt;=R287,G287&lt;=IF(Задача_НагревательТип=1,СкоростьMAX_НагревательЭлектрический,СкоростьMAX_НагревательВодяной),G287&gt;=IF(Задача_НагревательТип=1,СкоростьMIN_НагревательЭлектрический,СкоростьMIN_НагревательВодяной)),FALSE))</f>
        <v>Ø100=ЛОЖЬ</v>
      </c>
      <c r="J287" s="85">
        <v>100</v>
      </c>
      <c r="K287" s="86"/>
      <c r="L287" s="81" t="str">
        <f t="shared" ref="L287:L350" si="62">IF(K287&gt;0,IF(J287&gt;0,CONCATENATE(J287,"x",K287),K287),CONCATENATE("Ø",J287))</f>
        <v>Ø100</v>
      </c>
      <c r="M287" s="87">
        <f t="shared" ref="M287:M311" si="63">IF(K287&gt;1,J287*K287,PI()*J287^2/4)/1000000</f>
        <v>7.8539816339744835E-3</v>
      </c>
      <c r="N287" s="88">
        <v>360</v>
      </c>
      <c r="O287" s="89">
        <v>2.2000000000000002</v>
      </c>
      <c r="P287" s="89" t="s">
        <v>240</v>
      </c>
      <c r="Q287" s="266">
        <v>1</v>
      </c>
      <c r="R287" s="266" t="e">
        <f>IFERROR(VLOOKUP(L287,ПП_Расчет!C$10:F$19,3,0),ПП_Расчет!E$10)</f>
        <v>#REF!</v>
      </c>
      <c r="S287" s="266" t="e">
        <f>IFERROR(VLOOKUP(L287,ПП_Расчет!C$10:F$19,4,0),ПП_Расчет!F$10)</f>
        <v>#REF!</v>
      </c>
      <c r="T287" s="266"/>
      <c r="U287" s="266"/>
      <c r="V287" s="266"/>
      <c r="W287" s="86">
        <v>31</v>
      </c>
      <c r="X287" s="86">
        <v>141</v>
      </c>
      <c r="Y287" s="86">
        <v>3</v>
      </c>
      <c r="Z287" s="86">
        <v>31</v>
      </c>
      <c r="AA287" s="81">
        <f t="shared" ref="AA287:AA318" si="64">(Y287/W287-Z287/X287)/(W287-X287)</f>
        <v>1.1189451134543792E-3</v>
      </c>
      <c r="AB287" s="52">
        <f t="shared" ref="AB287:AB318" si="65">Y287/W287-AA287*W287</f>
        <v>6.208689503130134E-2</v>
      </c>
      <c r="AH287" s="40"/>
      <c r="AJ287" s="41"/>
      <c r="AK287" s="41"/>
      <c r="AL287" s="41"/>
      <c r="AP287" s="40"/>
      <c r="AQ287" s="40"/>
      <c r="AR287" s="41"/>
      <c r="AS287" s="41"/>
    </row>
    <row r="288" spans="1:45">
      <c r="A288" s="538" t="s">
        <v>949</v>
      </c>
      <c r="B288" s="91">
        <f>MATCH(A288,Нагреватели!B$7:B$2018,0)</f>
        <v>6</v>
      </c>
      <c r="C288" s="78" t="e">
        <f ca="1">OFFSET(Нагреватели!#REF!,B288-1,0)</f>
        <v>#REF!</v>
      </c>
      <c r="D288" s="78" t="e">
        <f t="shared" ca="1" si="58"/>
        <v>#REF!</v>
      </c>
      <c r="E288" s="487" t="e">
        <f ca="1">OFFSET(Нагреватели!#REF!,B288-1,0)</f>
        <v>#REF!</v>
      </c>
      <c r="F288" s="146" t="s">
        <v>591</v>
      </c>
      <c r="G288" s="101" t="e">
        <f t="shared" si="59"/>
        <v>#REF!</v>
      </c>
      <c r="H288" s="102" t="e">
        <f t="shared" si="60"/>
        <v>#REF!</v>
      </c>
      <c r="I288" s="520" t="str">
        <f t="shared" si="61"/>
        <v>Ø100=ЛОЖЬ</v>
      </c>
      <c r="J288" s="103">
        <v>100</v>
      </c>
      <c r="K288" s="104"/>
      <c r="L288" s="77" t="str">
        <f t="shared" si="62"/>
        <v>Ø100</v>
      </c>
      <c r="M288" s="105">
        <f t="shared" si="63"/>
        <v>7.8539816339744835E-3</v>
      </c>
      <c r="N288" s="106">
        <v>455</v>
      </c>
      <c r="O288" s="107">
        <v>3.5</v>
      </c>
      <c r="P288" s="107" t="s">
        <v>240</v>
      </c>
      <c r="Q288" s="267">
        <v>2</v>
      </c>
      <c r="R288" s="267" t="e">
        <f>IFERROR(VLOOKUP(L288,ПП_Расчет!C$10:F$19,3,0),ПП_Расчет!E$10)</f>
        <v>#REF!</v>
      </c>
      <c r="S288" s="267" t="e">
        <f>IFERROR(VLOOKUP(L288,ПП_Расчет!C$10:F$19,4,0),ПП_Расчет!F$10)</f>
        <v>#REF!</v>
      </c>
      <c r="T288" s="267"/>
      <c r="U288" s="267"/>
      <c r="V288" s="267"/>
      <c r="W288" s="104">
        <v>31</v>
      </c>
      <c r="X288" s="104">
        <v>141</v>
      </c>
      <c r="Y288" s="104">
        <v>3</v>
      </c>
      <c r="Z288" s="104">
        <v>31</v>
      </c>
      <c r="AA288" s="77">
        <f t="shared" si="64"/>
        <v>1.1189451134543792E-3</v>
      </c>
      <c r="AB288" s="62">
        <f t="shared" si="65"/>
        <v>6.208689503130134E-2</v>
      </c>
      <c r="AH288" s="40"/>
      <c r="AJ288" s="41"/>
      <c r="AK288" s="41"/>
      <c r="AL288" s="41"/>
      <c r="AP288" s="40"/>
      <c r="AQ288" s="40"/>
      <c r="AR288" s="41"/>
      <c r="AS288" s="41"/>
    </row>
    <row r="289" spans="1:45">
      <c r="A289" s="537" t="s">
        <v>950</v>
      </c>
      <c r="B289" s="81">
        <f>MATCH(A289,Нагреватели!B$7:B$2018,0)</f>
        <v>7</v>
      </c>
      <c r="C289" s="82" t="e">
        <f ca="1">OFFSET(Нагреватели!#REF!,B289-1,0)</f>
        <v>#REF!</v>
      </c>
      <c r="D289" s="82" t="e">
        <f t="shared" ca="1" si="58"/>
        <v>#REF!</v>
      </c>
      <c r="E289" s="488" t="e">
        <f ca="1">OFFSET(Нагреватели!#REF!,B289-1,0)</f>
        <v>#REF!</v>
      </c>
      <c r="F289" s="145" t="s">
        <v>591</v>
      </c>
      <c r="G289" s="83" t="e">
        <f t="shared" si="59"/>
        <v>#REF!</v>
      </c>
      <c r="H289" s="84" t="e">
        <f t="shared" si="60"/>
        <v>#REF!</v>
      </c>
      <c r="I289" s="518" t="str">
        <f t="shared" si="61"/>
        <v>Ø125=ЛОЖЬ</v>
      </c>
      <c r="J289" s="85">
        <v>125</v>
      </c>
      <c r="K289" s="86"/>
      <c r="L289" s="81" t="str">
        <f t="shared" si="62"/>
        <v>Ø125</v>
      </c>
      <c r="M289" s="87">
        <f t="shared" si="63"/>
        <v>1.2271846303085129E-2</v>
      </c>
      <c r="N289" s="88">
        <v>330</v>
      </c>
      <c r="O289" s="89">
        <v>3.4</v>
      </c>
      <c r="P289" s="89" t="s">
        <v>240</v>
      </c>
      <c r="Q289" s="266">
        <v>1</v>
      </c>
      <c r="R289" s="266" t="e">
        <f>IFERROR(VLOOKUP(L289,ПП_Расчет!C$10:F$19,3,0),ПП_Расчет!E$10)</f>
        <v>#REF!</v>
      </c>
      <c r="S289" s="266" t="e">
        <f>IFERROR(VLOOKUP(L289,ПП_Расчет!C$10:F$19,4,0),ПП_Расчет!F$10)</f>
        <v>#REF!</v>
      </c>
      <c r="T289" s="266"/>
      <c r="U289" s="266"/>
      <c r="V289" s="266"/>
      <c r="W289" s="86">
        <v>49</v>
      </c>
      <c r="X289" s="86">
        <v>221</v>
      </c>
      <c r="Y289" s="86">
        <v>3</v>
      </c>
      <c r="Z289" s="86">
        <v>31</v>
      </c>
      <c r="AA289" s="81">
        <f t="shared" si="64"/>
        <v>4.5957560126018209E-4</v>
      </c>
      <c r="AB289" s="52">
        <f t="shared" si="65"/>
        <v>3.8705285334169448E-2</v>
      </c>
      <c r="AH289" s="40"/>
      <c r="AJ289" s="41"/>
      <c r="AK289" s="41"/>
      <c r="AL289" s="41"/>
      <c r="AP289" s="40"/>
      <c r="AQ289" s="40"/>
      <c r="AR289" s="41"/>
      <c r="AS289" s="41"/>
    </row>
    <row r="290" spans="1:45">
      <c r="A290" s="538" t="s">
        <v>951</v>
      </c>
      <c r="B290" s="77">
        <f>MATCH(A290,Нагреватели!B$7:B$2018,0)</f>
        <v>8</v>
      </c>
      <c r="C290" s="78" t="e">
        <f ca="1">OFFSET(Нагреватели!#REF!,B290-1,0)</f>
        <v>#REF!</v>
      </c>
      <c r="D290" s="78" t="e">
        <f t="shared" ca="1" si="58"/>
        <v>#REF!</v>
      </c>
      <c r="E290" s="489" t="e">
        <f ca="1">OFFSET(Нагреватели!#REF!,B290-1,0)</f>
        <v>#REF!</v>
      </c>
      <c r="F290" s="500" t="s">
        <v>591</v>
      </c>
      <c r="G290" s="101" t="e">
        <f t="shared" si="59"/>
        <v>#REF!</v>
      </c>
      <c r="H290" s="102" t="e">
        <f t="shared" si="60"/>
        <v>#REF!</v>
      </c>
      <c r="I290" s="520" t="str">
        <f t="shared" si="61"/>
        <v>Ø125=ЛОЖЬ</v>
      </c>
      <c r="J290" s="103">
        <v>125</v>
      </c>
      <c r="K290" s="104"/>
      <c r="L290" s="77" t="str">
        <f t="shared" si="62"/>
        <v>Ø125</v>
      </c>
      <c r="M290" s="105">
        <f>IF(K290&gt;1,J290*K290,PI()*J290^2/4)/1000000</f>
        <v>1.2271846303085129E-2</v>
      </c>
      <c r="N290" s="106">
        <v>330</v>
      </c>
      <c r="O290" s="107">
        <v>3.4</v>
      </c>
      <c r="P290" s="107" t="s">
        <v>240</v>
      </c>
      <c r="Q290" s="267">
        <v>2</v>
      </c>
      <c r="R290" s="267" t="e">
        <f>IFERROR(VLOOKUP(L290,ПП_Расчет!C$10:F$19,3,0),ПП_Расчет!E$10)</f>
        <v>#REF!</v>
      </c>
      <c r="S290" s="267" t="e">
        <f>IFERROR(VLOOKUP(L290,ПП_Расчет!C$10:F$19,4,0),ПП_Расчет!F$10)</f>
        <v>#REF!</v>
      </c>
      <c r="T290" s="267"/>
      <c r="U290" s="267"/>
      <c r="V290" s="267"/>
      <c r="W290" s="104">
        <v>49</v>
      </c>
      <c r="X290" s="104">
        <v>221</v>
      </c>
      <c r="Y290" s="104">
        <v>3</v>
      </c>
      <c r="Z290" s="104">
        <v>31</v>
      </c>
      <c r="AA290" s="77">
        <f t="shared" si="64"/>
        <v>4.5957560126018209E-4</v>
      </c>
      <c r="AB290" s="62">
        <f t="shared" si="65"/>
        <v>3.8705285334169448E-2</v>
      </c>
      <c r="AH290" s="40"/>
      <c r="AJ290" s="41"/>
      <c r="AK290" s="41"/>
      <c r="AL290" s="41"/>
      <c r="AP290" s="40"/>
      <c r="AQ290" s="40"/>
      <c r="AR290" s="41"/>
      <c r="AS290" s="41"/>
    </row>
    <row r="291" spans="1:45">
      <c r="A291" s="538" t="s">
        <v>952</v>
      </c>
      <c r="B291" s="77">
        <f>MATCH(A291,Нагреватели!B$7:B$2018,0)</f>
        <v>9</v>
      </c>
      <c r="C291" s="78" t="e">
        <f ca="1">OFFSET(Нагреватели!#REF!,B291-1,0)</f>
        <v>#REF!</v>
      </c>
      <c r="D291" s="78" t="e">
        <f t="shared" ca="1" si="58"/>
        <v>#REF!</v>
      </c>
      <c r="E291" s="489" t="e">
        <f ca="1">OFFSET(Нагреватели!#REF!,B291-1,0)</f>
        <v>#REF!</v>
      </c>
      <c r="F291" s="500" t="s">
        <v>591</v>
      </c>
      <c r="G291" s="101" t="e">
        <f t="shared" si="59"/>
        <v>#REF!</v>
      </c>
      <c r="H291" s="102" t="e">
        <f t="shared" si="60"/>
        <v>#REF!</v>
      </c>
      <c r="I291" s="520" t="str">
        <f t="shared" si="61"/>
        <v>Ø125=ЛОЖЬ</v>
      </c>
      <c r="J291" s="103">
        <v>125</v>
      </c>
      <c r="K291" s="104"/>
      <c r="L291" s="77" t="str">
        <f t="shared" si="62"/>
        <v>Ø125</v>
      </c>
      <c r="M291" s="105">
        <f t="shared" si="63"/>
        <v>1.2271846303085129E-2</v>
      </c>
      <c r="N291" s="106">
        <v>347</v>
      </c>
      <c r="O291" s="107">
        <v>3.7</v>
      </c>
      <c r="P291" s="107" t="s">
        <v>240</v>
      </c>
      <c r="Q291" s="267">
        <v>3</v>
      </c>
      <c r="R291" s="267" t="e">
        <f>IFERROR(VLOOKUP(L291,ПП_Расчет!C$10:F$19,3,0),ПП_Расчет!E$10)</f>
        <v>#REF!</v>
      </c>
      <c r="S291" s="267" t="e">
        <f>IFERROR(VLOOKUP(L291,ПП_Расчет!C$10:F$19,4,0),ПП_Расчет!F$10)</f>
        <v>#REF!</v>
      </c>
      <c r="T291" s="267"/>
      <c r="U291" s="267"/>
      <c r="V291" s="267"/>
      <c r="W291" s="104">
        <v>49</v>
      </c>
      <c r="X291" s="104">
        <v>221</v>
      </c>
      <c r="Y291" s="104">
        <v>3</v>
      </c>
      <c r="Z291" s="104">
        <v>31</v>
      </c>
      <c r="AA291" s="77">
        <f t="shared" si="64"/>
        <v>4.5957560126018209E-4</v>
      </c>
      <c r="AB291" s="62">
        <f t="shared" si="65"/>
        <v>3.8705285334169448E-2</v>
      </c>
      <c r="AH291" s="40"/>
      <c r="AJ291" s="41"/>
      <c r="AK291" s="41"/>
      <c r="AL291" s="41"/>
      <c r="AP291" s="40"/>
      <c r="AQ291" s="40"/>
      <c r="AR291" s="41"/>
      <c r="AS291" s="41"/>
    </row>
    <row r="292" spans="1:45">
      <c r="A292" s="537" t="s">
        <v>953</v>
      </c>
      <c r="B292" s="81">
        <f>MATCH(A292,Нагреватели!B$7:B$2018,0)</f>
        <v>10</v>
      </c>
      <c r="C292" s="82" t="e">
        <f ca="1">OFFSET(Нагреватели!#REF!,B292-1,0)</f>
        <v>#REF!</v>
      </c>
      <c r="D292" s="82" t="e">
        <f t="shared" ca="1" si="58"/>
        <v>#REF!</v>
      </c>
      <c r="E292" s="488" t="e">
        <f ca="1">OFFSET(Нагреватели!#REF!,B292-1,0)</f>
        <v>#REF!</v>
      </c>
      <c r="F292" s="145" t="s">
        <v>591</v>
      </c>
      <c r="G292" s="83" t="e">
        <f t="shared" si="59"/>
        <v>#REF!</v>
      </c>
      <c r="H292" s="84" t="e">
        <f t="shared" si="60"/>
        <v>#REF!</v>
      </c>
      <c r="I292" s="518" t="str">
        <f t="shared" si="61"/>
        <v>Ø160=ЛОЖЬ</v>
      </c>
      <c r="J292" s="85">
        <v>160</v>
      </c>
      <c r="K292" s="86"/>
      <c r="L292" s="81" t="str">
        <f t="shared" si="62"/>
        <v>Ø160</v>
      </c>
      <c r="M292" s="87">
        <f t="shared" si="63"/>
        <v>2.0106192982974676E-2</v>
      </c>
      <c r="N292" s="88">
        <v>370</v>
      </c>
      <c r="O292" s="89">
        <v>4.2</v>
      </c>
      <c r="P292" s="89" t="s">
        <v>240</v>
      </c>
      <c r="Q292" s="266">
        <v>2</v>
      </c>
      <c r="R292" s="266" t="e">
        <f>IFERROR(VLOOKUP(L292,ПП_Расчет!C$10:F$19,3,0),ПП_Расчет!E$10)</f>
        <v>#REF!</v>
      </c>
      <c r="S292" s="266" t="e">
        <f>IFERROR(VLOOKUP(L292,ПП_Расчет!C$10:F$19,4,0),ПП_Расчет!F$10)</f>
        <v>#REF!</v>
      </c>
      <c r="T292" s="266"/>
      <c r="U292" s="266"/>
      <c r="V292" s="266"/>
      <c r="W292" s="86">
        <v>80</v>
      </c>
      <c r="X292" s="86">
        <v>362</v>
      </c>
      <c r="Y292" s="86">
        <v>3</v>
      </c>
      <c r="Z292" s="86">
        <v>31</v>
      </c>
      <c r="AA292" s="81">
        <f t="shared" si="64"/>
        <v>1.7069276282277341E-4</v>
      </c>
      <c r="AB292" s="52">
        <f t="shared" si="65"/>
        <v>2.3844578974178125E-2</v>
      </c>
      <c r="AH292" s="40"/>
      <c r="AJ292" s="41"/>
      <c r="AK292" s="41"/>
      <c r="AL292" s="41"/>
      <c r="AP292" s="40"/>
      <c r="AQ292" s="40"/>
      <c r="AR292" s="41"/>
      <c r="AS292" s="41"/>
    </row>
    <row r="293" spans="1:45">
      <c r="A293" s="538" t="s">
        <v>954</v>
      </c>
      <c r="B293" s="77">
        <f>MATCH(A293,Нагреватели!B$7:B$2018,0)</f>
        <v>11</v>
      </c>
      <c r="C293" s="78" t="e">
        <f ca="1">OFFSET(Нагреватели!#REF!,B293-1,0)</f>
        <v>#REF!</v>
      </c>
      <c r="D293" s="78" t="e">
        <f t="shared" ca="1" si="58"/>
        <v>#REF!</v>
      </c>
      <c r="E293" s="489" t="e">
        <f ca="1">OFFSET(Нагреватели!#REF!,B293-1,0)</f>
        <v>#REF!</v>
      </c>
      <c r="F293" s="500" t="s">
        <v>591</v>
      </c>
      <c r="G293" s="101" t="e">
        <f t="shared" si="59"/>
        <v>#REF!</v>
      </c>
      <c r="H293" s="102" t="e">
        <f t="shared" si="60"/>
        <v>#REF!</v>
      </c>
      <c r="I293" s="520" t="str">
        <f t="shared" si="61"/>
        <v>Ø160=ЛОЖЬ</v>
      </c>
      <c r="J293" s="103">
        <v>160</v>
      </c>
      <c r="K293" s="104"/>
      <c r="L293" s="77" t="str">
        <f t="shared" si="62"/>
        <v>Ø160</v>
      </c>
      <c r="M293" s="105">
        <f t="shared" si="63"/>
        <v>2.0106192982974676E-2</v>
      </c>
      <c r="N293" s="106">
        <v>370</v>
      </c>
      <c r="O293" s="107">
        <v>4.5999999999999996</v>
      </c>
      <c r="P293" s="107" t="s">
        <v>240</v>
      </c>
      <c r="Q293" s="267">
        <v>3</v>
      </c>
      <c r="R293" s="267" t="e">
        <f>IFERROR(VLOOKUP(L293,ПП_Расчет!C$10:F$19,3,0),ПП_Расчет!E$10)</f>
        <v>#REF!</v>
      </c>
      <c r="S293" s="267" t="e">
        <f>IFERROR(VLOOKUP(L293,ПП_Расчет!C$10:F$19,4,0),ПП_Расчет!F$10)</f>
        <v>#REF!</v>
      </c>
      <c r="T293" s="267"/>
      <c r="U293" s="267"/>
      <c r="V293" s="267"/>
      <c r="W293" s="104">
        <v>80</v>
      </c>
      <c r="X293" s="104">
        <v>362</v>
      </c>
      <c r="Y293" s="104">
        <v>3</v>
      </c>
      <c r="Z293" s="104">
        <v>31</v>
      </c>
      <c r="AA293" s="77">
        <f t="shared" si="64"/>
        <v>1.7069276282277341E-4</v>
      </c>
      <c r="AB293" s="62">
        <f t="shared" si="65"/>
        <v>2.3844578974178125E-2</v>
      </c>
      <c r="AH293" s="40"/>
      <c r="AJ293" s="41"/>
      <c r="AK293" s="41"/>
      <c r="AL293" s="41"/>
      <c r="AP293" s="40"/>
      <c r="AQ293" s="40"/>
      <c r="AR293" s="41"/>
      <c r="AS293" s="41"/>
    </row>
    <row r="294" spans="1:45">
      <c r="A294" s="538" t="s">
        <v>955</v>
      </c>
      <c r="B294" s="77">
        <f>MATCH(A294,Нагреватели!B$7:B$2018,0)</f>
        <v>12</v>
      </c>
      <c r="C294" s="78" t="e">
        <f ca="1">OFFSET(Нагреватели!#REF!,B294-1,0)</f>
        <v>#REF!</v>
      </c>
      <c r="D294" s="78" t="e">
        <f t="shared" ca="1" si="58"/>
        <v>#REF!</v>
      </c>
      <c r="E294" s="489" t="e">
        <f ca="1">OFFSET(Нагреватели!#REF!,B294-1,0)</f>
        <v>#REF!</v>
      </c>
      <c r="F294" s="500" t="s">
        <v>591</v>
      </c>
      <c r="G294" s="101" t="e">
        <f t="shared" si="59"/>
        <v>#REF!</v>
      </c>
      <c r="H294" s="102" t="e">
        <f t="shared" si="60"/>
        <v>#REF!</v>
      </c>
      <c r="I294" s="520" t="str">
        <f t="shared" si="61"/>
        <v>Ø160=ЛОЖЬ</v>
      </c>
      <c r="J294" s="103">
        <v>160</v>
      </c>
      <c r="K294" s="104"/>
      <c r="L294" s="77" t="str">
        <f t="shared" si="62"/>
        <v>Ø160</v>
      </c>
      <c r="M294" s="105">
        <f>IF(K294&gt;1,J294*K294,PI()*J294^2/4)/1000000</f>
        <v>2.0106192982974676E-2</v>
      </c>
      <c r="N294" s="106">
        <v>490</v>
      </c>
      <c r="O294" s="107">
        <v>6.4</v>
      </c>
      <c r="P294" s="107" t="s">
        <v>240</v>
      </c>
      <c r="Q294" s="267">
        <v>6</v>
      </c>
      <c r="R294" s="267" t="e">
        <f>IFERROR(VLOOKUP(L294,ПП_Расчет!C$10:F$19,3,0),ПП_Расчет!E$10)</f>
        <v>#REF!</v>
      </c>
      <c r="S294" s="267" t="e">
        <f>IFERROR(VLOOKUP(L294,ПП_Расчет!C$10:F$19,4,0),ПП_Расчет!F$10)</f>
        <v>#REF!</v>
      </c>
      <c r="T294" s="267"/>
      <c r="U294" s="267"/>
      <c r="V294" s="267"/>
      <c r="W294" s="104">
        <v>80</v>
      </c>
      <c r="X294" s="104">
        <v>362</v>
      </c>
      <c r="Y294" s="104">
        <v>3</v>
      </c>
      <c r="Z294" s="104">
        <v>31</v>
      </c>
      <c r="AA294" s="77">
        <f t="shared" si="64"/>
        <v>1.7069276282277341E-4</v>
      </c>
      <c r="AB294" s="62">
        <f t="shared" si="65"/>
        <v>2.3844578974178125E-2</v>
      </c>
      <c r="AH294" s="40"/>
      <c r="AJ294" s="41"/>
      <c r="AK294" s="41"/>
      <c r="AL294" s="41"/>
      <c r="AP294" s="40"/>
      <c r="AQ294" s="40"/>
      <c r="AR294" s="41"/>
      <c r="AS294" s="41"/>
    </row>
    <row r="295" spans="1:45">
      <c r="A295" s="538" t="s">
        <v>956</v>
      </c>
      <c r="B295" s="77">
        <f>MATCH(A295,Нагреватели!B$7:B$2018,0)</f>
        <v>27</v>
      </c>
      <c r="C295" s="78" t="e">
        <f ca="1">OFFSET(Нагреватели!#REF!,B295-1,0)</f>
        <v>#REF!</v>
      </c>
      <c r="D295" s="78" t="e">
        <f t="shared" ca="1" si="58"/>
        <v>#REF!</v>
      </c>
      <c r="E295" s="489" t="e">
        <f ca="1">OFFSET(Нагреватели!#REF!,B295-1,0)</f>
        <v>#REF!</v>
      </c>
      <c r="F295" s="500" t="s">
        <v>591</v>
      </c>
      <c r="G295" s="101" t="e">
        <f t="shared" si="59"/>
        <v>#REF!</v>
      </c>
      <c r="H295" s="102" t="e">
        <f t="shared" si="60"/>
        <v>#REF!</v>
      </c>
      <c r="I295" s="520" t="str">
        <f t="shared" si="61"/>
        <v>Ø160=ЛОЖЬ</v>
      </c>
      <c r="J295" s="103">
        <v>160</v>
      </c>
      <c r="K295" s="104"/>
      <c r="L295" s="77" t="str">
        <f t="shared" si="62"/>
        <v>Ø160</v>
      </c>
      <c r="M295" s="105">
        <f t="shared" si="63"/>
        <v>2.0106192982974676E-2</v>
      </c>
      <c r="N295" s="106">
        <v>200</v>
      </c>
      <c r="O295" s="107">
        <v>3.5</v>
      </c>
      <c r="P295" s="107" t="s">
        <v>241</v>
      </c>
      <c r="Q295" s="267">
        <v>0</v>
      </c>
      <c r="R295" s="267" t="e">
        <f>IFERROR(VLOOKUP(L295,ПП_Расчет!C$10:F$19,3,0),ПП_Расчет!E$10)</f>
        <v>#REF!</v>
      </c>
      <c r="S295" s="267" t="e">
        <f>IFERROR(VLOOKUP(L295,ПП_Расчет!C$10:F$19,4,0),ПП_Расчет!F$10)</f>
        <v>#REF!</v>
      </c>
      <c r="T295" s="267"/>
      <c r="U295" s="267"/>
      <c r="V295" s="267"/>
      <c r="W295" s="104">
        <v>80</v>
      </c>
      <c r="X295" s="104">
        <v>362</v>
      </c>
      <c r="Y295" s="104">
        <v>4</v>
      </c>
      <c r="Z295" s="104">
        <v>35</v>
      </c>
      <c r="AA295" s="77">
        <f t="shared" si="64"/>
        <v>1.6554993926570276E-4</v>
      </c>
      <c r="AB295" s="62">
        <f t="shared" si="65"/>
        <v>3.6756004858743779E-2</v>
      </c>
      <c r="AH295" s="40"/>
      <c r="AJ295" s="41"/>
      <c r="AK295" s="41"/>
      <c r="AL295" s="41"/>
      <c r="AP295" s="40"/>
      <c r="AQ295" s="40"/>
      <c r="AR295" s="41"/>
      <c r="AS295" s="41"/>
    </row>
    <row r="296" spans="1:45">
      <c r="A296" s="537" t="s">
        <v>957</v>
      </c>
      <c r="B296" s="81">
        <f>MATCH(A296,Нагреватели!B$7:B$2018,0)</f>
        <v>14</v>
      </c>
      <c r="C296" s="82" t="e">
        <f ca="1">OFFSET(Нагреватели!#REF!,B296-1,0)</f>
        <v>#REF!</v>
      </c>
      <c r="D296" s="82" t="e">
        <f t="shared" ca="1" si="58"/>
        <v>#REF!</v>
      </c>
      <c r="E296" s="488" t="e">
        <f ca="1">OFFSET(Нагреватели!#REF!,B296-1,0)</f>
        <v>#REF!</v>
      </c>
      <c r="F296" s="145" t="s">
        <v>591</v>
      </c>
      <c r="G296" s="83" t="e">
        <f t="shared" si="59"/>
        <v>#REF!</v>
      </c>
      <c r="H296" s="84" t="e">
        <f t="shared" si="60"/>
        <v>#REF!</v>
      </c>
      <c r="I296" s="518" t="str">
        <f t="shared" si="61"/>
        <v>Ø200=ЛОЖЬ</v>
      </c>
      <c r="J296" s="85">
        <v>200</v>
      </c>
      <c r="K296" s="86"/>
      <c r="L296" s="81" t="str">
        <f t="shared" si="62"/>
        <v>Ø200</v>
      </c>
      <c r="M296" s="87">
        <f t="shared" si="63"/>
        <v>3.1415926535897934E-2</v>
      </c>
      <c r="N296" s="88">
        <v>370</v>
      </c>
      <c r="O296" s="89">
        <v>5.3</v>
      </c>
      <c r="P296" s="89" t="s">
        <v>240</v>
      </c>
      <c r="Q296" s="266">
        <v>3</v>
      </c>
      <c r="R296" s="266" t="e">
        <f>IFERROR(VLOOKUP(L296,ПП_Расчет!C$10:F$19,3,0),ПП_Расчет!E$10)</f>
        <v>#REF!</v>
      </c>
      <c r="S296" s="266" t="e">
        <f>IFERROR(VLOOKUP(L296,ПП_Расчет!C$10:F$19,4,0),ПП_Расчет!F$10)</f>
        <v>#REF!</v>
      </c>
      <c r="T296" s="266"/>
      <c r="U296" s="266"/>
      <c r="V296" s="266"/>
      <c r="W296" s="86">
        <v>124</v>
      </c>
      <c r="X296" s="86">
        <v>565</v>
      </c>
      <c r="Y296" s="86">
        <v>3</v>
      </c>
      <c r="Z296" s="86">
        <v>31</v>
      </c>
      <c r="AA296" s="81">
        <f t="shared" si="64"/>
        <v>6.9554893991091542E-5</v>
      </c>
      <c r="AB296" s="52">
        <f t="shared" si="65"/>
        <v>1.5568741532201422E-2</v>
      </c>
      <c r="AH296" s="40"/>
      <c r="AJ296" s="41"/>
      <c r="AK296" s="41"/>
      <c r="AL296" s="41"/>
      <c r="AP296" s="40"/>
      <c r="AQ296" s="40"/>
      <c r="AR296" s="41"/>
      <c r="AS296" s="41"/>
    </row>
    <row r="297" spans="1:45">
      <c r="A297" s="538" t="s">
        <v>958</v>
      </c>
      <c r="B297" s="77">
        <f>MATCH(A297,Нагреватели!B$7:B$2018,0)</f>
        <v>15</v>
      </c>
      <c r="C297" s="78" t="e">
        <f ca="1">OFFSET(Нагреватели!#REF!,B297-1,0)</f>
        <v>#REF!</v>
      </c>
      <c r="D297" s="78" t="e">
        <f t="shared" ca="1" si="58"/>
        <v>#REF!</v>
      </c>
      <c r="E297" s="489" t="e">
        <f ca="1">OFFSET(Нагреватели!#REF!,B297-1,0)</f>
        <v>#REF!</v>
      </c>
      <c r="F297" s="500" t="s">
        <v>591</v>
      </c>
      <c r="G297" s="101" t="e">
        <f t="shared" si="59"/>
        <v>#REF!</v>
      </c>
      <c r="H297" s="102" t="e">
        <f t="shared" si="60"/>
        <v>#REF!</v>
      </c>
      <c r="I297" s="520" t="str">
        <f t="shared" si="61"/>
        <v>Ø200=ЛОЖЬ</v>
      </c>
      <c r="J297" s="103">
        <v>200</v>
      </c>
      <c r="K297" s="104"/>
      <c r="L297" s="77" t="str">
        <f t="shared" si="62"/>
        <v>Ø200</v>
      </c>
      <c r="M297" s="105">
        <f>IF(K297&gt;1,J297*K297,PI()*J297^2/4)/1000000</f>
        <v>3.1415926535897934E-2</v>
      </c>
      <c r="N297" s="106">
        <v>370</v>
      </c>
      <c r="O297" s="107">
        <v>6.1</v>
      </c>
      <c r="P297" s="107" t="s">
        <v>240</v>
      </c>
      <c r="Q297" s="267">
        <v>6</v>
      </c>
      <c r="R297" s="267" t="e">
        <f>IFERROR(VLOOKUP(L297,ПП_Расчет!C$10:F$19,3,0),ПП_Расчет!E$10)</f>
        <v>#REF!</v>
      </c>
      <c r="S297" s="267" t="e">
        <f>IFERROR(VLOOKUP(L297,ПП_Расчет!C$10:F$19,4,0),ПП_Расчет!F$10)</f>
        <v>#REF!</v>
      </c>
      <c r="T297" s="267"/>
      <c r="U297" s="267"/>
      <c r="V297" s="267"/>
      <c r="W297" s="104">
        <v>124</v>
      </c>
      <c r="X297" s="104">
        <v>565</v>
      </c>
      <c r="Y297" s="104">
        <v>3</v>
      </c>
      <c r="Z297" s="104">
        <v>31</v>
      </c>
      <c r="AA297" s="77">
        <f t="shared" si="64"/>
        <v>6.9554893991091542E-5</v>
      </c>
      <c r="AB297" s="62">
        <f t="shared" si="65"/>
        <v>1.5568741532201422E-2</v>
      </c>
      <c r="AH297" s="40"/>
      <c r="AJ297" s="41"/>
      <c r="AK297" s="41"/>
      <c r="AL297" s="41"/>
      <c r="AP297" s="40"/>
      <c r="AQ297" s="40"/>
      <c r="AR297" s="41"/>
      <c r="AS297" s="41"/>
    </row>
    <row r="298" spans="1:45">
      <c r="A298" s="538" t="s">
        <v>959</v>
      </c>
      <c r="B298" s="77">
        <f>MATCH(A298,Нагреватели!B$7:B$2018,0)</f>
        <v>16</v>
      </c>
      <c r="C298" s="78" t="e">
        <f ca="1">OFFSET(Нагреватели!#REF!,B298-1,0)</f>
        <v>#REF!</v>
      </c>
      <c r="D298" s="78" t="e">
        <f t="shared" ca="1" si="58"/>
        <v>#REF!</v>
      </c>
      <c r="E298" s="489" t="e">
        <f ca="1">OFFSET(Нагреватели!#REF!,B298-1,0)</f>
        <v>#REF!</v>
      </c>
      <c r="F298" s="500" t="s">
        <v>591</v>
      </c>
      <c r="G298" s="101" t="e">
        <f t="shared" si="59"/>
        <v>#REF!</v>
      </c>
      <c r="H298" s="102" t="e">
        <f t="shared" si="60"/>
        <v>#REF!</v>
      </c>
      <c r="I298" s="520" t="str">
        <f t="shared" si="61"/>
        <v>Ø200=ЛОЖЬ</v>
      </c>
      <c r="J298" s="103">
        <v>200</v>
      </c>
      <c r="K298" s="104"/>
      <c r="L298" s="77" t="str">
        <f t="shared" si="62"/>
        <v>Ø200</v>
      </c>
      <c r="M298" s="105">
        <f t="shared" si="63"/>
        <v>3.1415926535897934E-2</v>
      </c>
      <c r="N298" s="106">
        <v>490</v>
      </c>
      <c r="O298" s="107">
        <v>7.7</v>
      </c>
      <c r="P298" s="107" t="s">
        <v>240</v>
      </c>
      <c r="Q298" s="267">
        <v>9</v>
      </c>
      <c r="R298" s="267" t="e">
        <f>IFERROR(VLOOKUP(L298,ПП_Расчет!C$10:F$19,3,0),ПП_Расчет!E$10)</f>
        <v>#REF!</v>
      </c>
      <c r="S298" s="267" t="e">
        <f>IFERROR(VLOOKUP(L298,ПП_Расчет!C$10:F$19,4,0),ПП_Расчет!F$10)</f>
        <v>#REF!</v>
      </c>
      <c r="T298" s="267"/>
      <c r="U298" s="267"/>
      <c r="V298" s="267"/>
      <c r="W298" s="104">
        <v>124</v>
      </c>
      <c r="X298" s="104">
        <v>565</v>
      </c>
      <c r="Y298" s="104">
        <v>3</v>
      </c>
      <c r="Z298" s="104">
        <v>31</v>
      </c>
      <c r="AA298" s="77">
        <f t="shared" si="64"/>
        <v>6.9554893991091542E-5</v>
      </c>
      <c r="AB298" s="62">
        <f t="shared" si="65"/>
        <v>1.5568741532201422E-2</v>
      </c>
      <c r="AH298" s="40"/>
      <c r="AJ298" s="41"/>
      <c r="AK298" s="41"/>
      <c r="AL298" s="41"/>
      <c r="AP298" s="40"/>
      <c r="AQ298" s="40"/>
      <c r="AR298" s="41"/>
      <c r="AS298" s="41"/>
    </row>
    <row r="299" spans="1:45">
      <c r="A299" s="538" t="s">
        <v>960</v>
      </c>
      <c r="B299" s="77">
        <f>MATCH(A299,Нагреватели!B$7:B$2018,0)</f>
        <v>13</v>
      </c>
      <c r="C299" s="78" t="e">
        <f ca="1">OFFSET(Нагреватели!#REF!,B299-1,0)</f>
        <v>#REF!</v>
      </c>
      <c r="D299" s="78" t="e">
        <f t="shared" ca="1" si="58"/>
        <v>#REF!</v>
      </c>
      <c r="E299" s="489" t="e">
        <f ca="1">OFFSET(Нагреватели!#REF!,B299-1,0)</f>
        <v>#REF!</v>
      </c>
      <c r="F299" s="500" t="s">
        <v>591</v>
      </c>
      <c r="G299" s="101" t="e">
        <f t="shared" si="59"/>
        <v>#REF!</v>
      </c>
      <c r="H299" s="102" t="e">
        <f t="shared" si="60"/>
        <v>#REF!</v>
      </c>
      <c r="I299" s="520" t="str">
        <f t="shared" si="61"/>
        <v>Ø200=ЛОЖЬ</v>
      </c>
      <c r="J299" s="103">
        <v>200</v>
      </c>
      <c r="K299" s="104"/>
      <c r="L299" s="77" t="str">
        <f t="shared" si="62"/>
        <v>Ø200</v>
      </c>
      <c r="M299" s="105">
        <f>IF(K299&gt;1,J299*K299,PI()*J299^2/4)/1000000</f>
        <v>3.1415926535897934E-2</v>
      </c>
      <c r="N299" s="106">
        <v>490</v>
      </c>
      <c r="O299" s="107">
        <v>8.6999999999999993</v>
      </c>
      <c r="P299" s="107" t="s">
        <v>240</v>
      </c>
      <c r="Q299" s="267">
        <v>12</v>
      </c>
      <c r="R299" s="267" t="e">
        <f>IFERROR(VLOOKUP(L299,ПП_Расчет!C$10:F$19,3,0),ПП_Расчет!E$10)</f>
        <v>#REF!</v>
      </c>
      <c r="S299" s="267" t="e">
        <f>IFERROR(VLOOKUP(L299,ПП_Расчет!C$10:F$19,4,0),ПП_Расчет!F$10)</f>
        <v>#REF!</v>
      </c>
      <c r="T299" s="267"/>
      <c r="U299" s="267"/>
      <c r="V299" s="267"/>
      <c r="W299" s="104">
        <v>124</v>
      </c>
      <c r="X299" s="104">
        <v>565</v>
      </c>
      <c r="Y299" s="104">
        <v>3</v>
      </c>
      <c r="Z299" s="104">
        <v>31</v>
      </c>
      <c r="AA299" s="77">
        <f t="shared" si="64"/>
        <v>6.9554893991091542E-5</v>
      </c>
      <c r="AB299" s="62">
        <f t="shared" si="65"/>
        <v>1.5568741532201422E-2</v>
      </c>
      <c r="AH299" s="40"/>
      <c r="AJ299" s="41"/>
      <c r="AK299" s="41"/>
      <c r="AL299" s="41"/>
      <c r="AP299" s="40"/>
      <c r="AQ299" s="40"/>
      <c r="AR299" s="41"/>
      <c r="AS299" s="41"/>
    </row>
    <row r="300" spans="1:45">
      <c r="A300" s="538" t="s">
        <v>961</v>
      </c>
      <c r="B300" s="77">
        <f>MATCH(A300,Нагреватели!B$7:B$2018,0)</f>
        <v>28</v>
      </c>
      <c r="C300" s="78" t="e">
        <f ca="1">OFFSET(Нагреватели!#REF!,B300-1,0)</f>
        <v>#REF!</v>
      </c>
      <c r="D300" s="78" t="e">
        <f t="shared" ca="1" si="58"/>
        <v>#REF!</v>
      </c>
      <c r="E300" s="489" t="e">
        <f ca="1">OFFSET(Нагреватели!#REF!,B300-1,0)</f>
        <v>#REF!</v>
      </c>
      <c r="F300" s="500" t="s">
        <v>591</v>
      </c>
      <c r="G300" s="101" t="e">
        <f t="shared" si="59"/>
        <v>#REF!</v>
      </c>
      <c r="H300" s="102" t="e">
        <f t="shared" si="60"/>
        <v>#REF!</v>
      </c>
      <c r="I300" s="520" t="str">
        <f t="shared" si="61"/>
        <v>Ø200=ЛОЖЬ</v>
      </c>
      <c r="J300" s="103">
        <v>200</v>
      </c>
      <c r="K300" s="104"/>
      <c r="L300" s="77" t="str">
        <f t="shared" si="62"/>
        <v>Ø200</v>
      </c>
      <c r="M300" s="105">
        <f t="shared" si="63"/>
        <v>3.1415926535897934E-2</v>
      </c>
      <c r="N300" s="106">
        <v>200</v>
      </c>
      <c r="O300" s="107">
        <v>3.5</v>
      </c>
      <c r="P300" s="107" t="s">
        <v>241</v>
      </c>
      <c r="Q300" s="267">
        <v>0</v>
      </c>
      <c r="R300" s="267" t="e">
        <f>IFERROR(VLOOKUP(L300,ПП_Расчет!C$10:F$19,3,0),ПП_Расчет!E$10)</f>
        <v>#REF!</v>
      </c>
      <c r="S300" s="267" t="e">
        <f>IFERROR(VLOOKUP(L300,ПП_Расчет!C$10:F$19,4,0),ПП_Расчет!F$10)</f>
        <v>#REF!</v>
      </c>
      <c r="T300" s="267"/>
      <c r="U300" s="267"/>
      <c r="V300" s="267"/>
      <c r="W300" s="104">
        <v>124</v>
      </c>
      <c r="X300" s="104">
        <v>565</v>
      </c>
      <c r="Y300" s="104">
        <v>5</v>
      </c>
      <c r="Z300" s="104">
        <v>52</v>
      </c>
      <c r="AA300" s="77">
        <f t="shared" si="64"/>
        <v>1.1726262490913199E-4</v>
      </c>
      <c r="AB300" s="62">
        <f t="shared" si="65"/>
        <v>2.5782015156428924E-2</v>
      </c>
      <c r="AH300" s="40"/>
      <c r="AJ300" s="41"/>
      <c r="AK300" s="41"/>
      <c r="AL300" s="41"/>
      <c r="AP300" s="40"/>
      <c r="AQ300" s="40"/>
      <c r="AR300" s="41"/>
      <c r="AS300" s="41"/>
    </row>
    <row r="301" spans="1:45">
      <c r="A301" s="537" t="s">
        <v>962</v>
      </c>
      <c r="B301" s="81">
        <f>MATCH(A301,Нагреватели!B$7:B$2018,0)</f>
        <v>19</v>
      </c>
      <c r="C301" s="82" t="e">
        <f ca="1">OFFSET(Нагреватели!#REF!,B301-1,0)</f>
        <v>#REF!</v>
      </c>
      <c r="D301" s="82" t="e">
        <f t="shared" ca="1" si="58"/>
        <v>#REF!</v>
      </c>
      <c r="E301" s="488" t="e">
        <f ca="1">OFFSET(Нагреватели!#REF!,B301-1,0)</f>
        <v>#REF!</v>
      </c>
      <c r="F301" s="145" t="s">
        <v>591</v>
      </c>
      <c r="G301" s="83" t="e">
        <f t="shared" si="59"/>
        <v>#REF!</v>
      </c>
      <c r="H301" s="84" t="e">
        <f t="shared" si="60"/>
        <v>#REF!</v>
      </c>
      <c r="I301" s="518" t="str">
        <f t="shared" si="61"/>
        <v>Ø250=ЛОЖЬ</v>
      </c>
      <c r="J301" s="85">
        <v>250</v>
      </c>
      <c r="K301" s="86"/>
      <c r="L301" s="81" t="str">
        <f t="shared" si="62"/>
        <v>Ø250</v>
      </c>
      <c r="M301" s="87">
        <f t="shared" si="63"/>
        <v>4.9087385212340517E-2</v>
      </c>
      <c r="N301" s="88">
        <v>370</v>
      </c>
      <c r="O301" s="89">
        <v>7.3</v>
      </c>
      <c r="P301" s="89" t="s">
        <v>240</v>
      </c>
      <c r="Q301" s="266">
        <v>6</v>
      </c>
      <c r="R301" s="266" t="e">
        <f>IFERROR(VLOOKUP(L301,ПП_Расчет!C$10:F$19,3,0),ПП_Расчет!E$10)</f>
        <v>#REF!</v>
      </c>
      <c r="S301" s="266" t="e">
        <f>IFERROR(VLOOKUP(L301,ПП_Расчет!C$10:F$19,4,0),ПП_Расчет!F$10)</f>
        <v>#REF!</v>
      </c>
      <c r="T301" s="266"/>
      <c r="U301" s="266"/>
      <c r="V301" s="266"/>
      <c r="W301" s="86">
        <v>194</v>
      </c>
      <c r="X301" s="86">
        <v>884</v>
      </c>
      <c r="Y301" s="86">
        <v>3</v>
      </c>
      <c r="Z301" s="86">
        <v>31</v>
      </c>
      <c r="AA301" s="81">
        <f t="shared" si="64"/>
        <v>2.8411530112165542E-5</v>
      </c>
      <c r="AB301" s="52">
        <f t="shared" si="65"/>
        <v>9.9520806840130809E-3</v>
      </c>
      <c r="AH301" s="40"/>
      <c r="AJ301" s="41"/>
      <c r="AK301" s="41"/>
      <c r="AL301" s="41"/>
      <c r="AP301" s="40"/>
      <c r="AQ301" s="40"/>
      <c r="AR301" s="41"/>
      <c r="AS301" s="41"/>
    </row>
    <row r="302" spans="1:45">
      <c r="A302" s="538" t="s">
        <v>963</v>
      </c>
      <c r="B302" s="77">
        <f>MATCH(A302,Нагреватели!B$7:B$2018,0)</f>
        <v>20</v>
      </c>
      <c r="C302" s="78" t="e">
        <f ca="1">OFFSET(Нагреватели!#REF!,B302-1,0)</f>
        <v>#REF!</v>
      </c>
      <c r="D302" s="78" t="e">
        <f t="shared" ca="1" si="58"/>
        <v>#REF!</v>
      </c>
      <c r="E302" s="489" t="e">
        <f ca="1">OFFSET(Нагреватели!#REF!,B302-1,0)</f>
        <v>#REF!</v>
      </c>
      <c r="F302" s="500" t="s">
        <v>591</v>
      </c>
      <c r="G302" s="101" t="e">
        <f t="shared" si="59"/>
        <v>#REF!</v>
      </c>
      <c r="H302" s="102" t="e">
        <f t="shared" si="60"/>
        <v>#REF!</v>
      </c>
      <c r="I302" s="520" t="str">
        <f t="shared" si="61"/>
        <v>Ø250=ЛОЖЬ</v>
      </c>
      <c r="J302" s="103">
        <v>250</v>
      </c>
      <c r="K302" s="104"/>
      <c r="L302" s="77" t="str">
        <f t="shared" si="62"/>
        <v>Ø250</v>
      </c>
      <c r="M302" s="105">
        <f t="shared" si="63"/>
        <v>4.9087385212340517E-2</v>
      </c>
      <c r="N302" s="106">
        <v>370</v>
      </c>
      <c r="O302" s="107">
        <v>8.1</v>
      </c>
      <c r="P302" s="107" t="s">
        <v>240</v>
      </c>
      <c r="Q302" s="267">
        <v>9</v>
      </c>
      <c r="R302" s="267" t="e">
        <f>IFERROR(VLOOKUP(L302,ПП_Расчет!C$10:F$19,3,0),ПП_Расчет!E$10)</f>
        <v>#REF!</v>
      </c>
      <c r="S302" s="267" t="e">
        <f>IFERROR(VLOOKUP(L302,ПП_Расчет!C$10:F$19,4,0),ПП_Расчет!F$10)</f>
        <v>#REF!</v>
      </c>
      <c r="T302" s="267"/>
      <c r="U302" s="267"/>
      <c r="V302" s="267"/>
      <c r="W302" s="104">
        <v>194</v>
      </c>
      <c r="X302" s="104">
        <v>884</v>
      </c>
      <c r="Y302" s="104">
        <v>3</v>
      </c>
      <c r="Z302" s="104">
        <v>31</v>
      </c>
      <c r="AA302" s="77">
        <f t="shared" si="64"/>
        <v>2.8411530112165542E-5</v>
      </c>
      <c r="AB302" s="62">
        <f t="shared" si="65"/>
        <v>9.9520806840130809E-3</v>
      </c>
      <c r="AH302" s="40"/>
      <c r="AJ302" s="41"/>
      <c r="AK302" s="41"/>
      <c r="AL302" s="41"/>
      <c r="AP302" s="40"/>
      <c r="AQ302" s="40"/>
      <c r="AR302" s="41"/>
      <c r="AS302" s="41"/>
    </row>
    <row r="303" spans="1:45">
      <c r="A303" s="538" t="s">
        <v>964</v>
      </c>
      <c r="B303" s="77">
        <f>MATCH(A303,Нагреватели!B$7:B$2018,0)</f>
        <v>17</v>
      </c>
      <c r="C303" s="78" t="e">
        <f ca="1">OFFSET(Нагреватели!#REF!,B303-1,0)</f>
        <v>#REF!</v>
      </c>
      <c r="D303" s="78" t="e">
        <f t="shared" ca="1" si="58"/>
        <v>#REF!</v>
      </c>
      <c r="E303" s="489" t="e">
        <f ca="1">OFFSET(Нагреватели!#REF!,B303-1,0)</f>
        <v>#REF!</v>
      </c>
      <c r="F303" s="500" t="s">
        <v>591</v>
      </c>
      <c r="G303" s="101" t="e">
        <f t="shared" si="59"/>
        <v>#REF!</v>
      </c>
      <c r="H303" s="102" t="e">
        <f t="shared" si="60"/>
        <v>#REF!</v>
      </c>
      <c r="I303" s="520" t="str">
        <f t="shared" si="61"/>
        <v>Ø250=ЛОЖЬ</v>
      </c>
      <c r="J303" s="103">
        <v>250</v>
      </c>
      <c r="K303" s="104"/>
      <c r="L303" s="77" t="str">
        <f t="shared" si="62"/>
        <v>Ø250</v>
      </c>
      <c r="M303" s="105">
        <f t="shared" si="63"/>
        <v>4.9087385212340517E-2</v>
      </c>
      <c r="N303" s="106">
        <v>490</v>
      </c>
      <c r="O303" s="107">
        <v>10</v>
      </c>
      <c r="P303" s="107" t="s">
        <v>240</v>
      </c>
      <c r="Q303" s="267">
        <v>12</v>
      </c>
      <c r="R303" s="267" t="e">
        <f>IFERROR(VLOOKUP(L303,ПП_Расчет!C$10:F$19,3,0),ПП_Расчет!E$10)</f>
        <v>#REF!</v>
      </c>
      <c r="S303" s="267" t="e">
        <f>IFERROR(VLOOKUP(L303,ПП_Расчет!C$10:F$19,4,0),ПП_Расчет!F$10)</f>
        <v>#REF!</v>
      </c>
      <c r="T303" s="267"/>
      <c r="U303" s="267"/>
      <c r="V303" s="267"/>
      <c r="W303" s="104">
        <v>194</v>
      </c>
      <c r="X303" s="104">
        <v>884</v>
      </c>
      <c r="Y303" s="104">
        <v>3</v>
      </c>
      <c r="Z303" s="104">
        <v>31</v>
      </c>
      <c r="AA303" s="77">
        <f t="shared" si="64"/>
        <v>2.8411530112165542E-5</v>
      </c>
      <c r="AB303" s="62">
        <f t="shared" si="65"/>
        <v>9.9520806840130809E-3</v>
      </c>
      <c r="AH303" s="40"/>
      <c r="AJ303" s="41"/>
      <c r="AK303" s="41"/>
      <c r="AL303" s="41"/>
      <c r="AP303" s="40"/>
      <c r="AQ303" s="40"/>
      <c r="AR303" s="41"/>
      <c r="AS303" s="41"/>
    </row>
    <row r="304" spans="1:45">
      <c r="A304" s="538" t="s">
        <v>965</v>
      </c>
      <c r="B304" s="77">
        <f>MATCH(A304,Нагреватели!B$7:B$2018,0)</f>
        <v>18</v>
      </c>
      <c r="C304" s="78" t="e">
        <f ca="1">OFFSET(Нагреватели!#REF!,B304-1,0)</f>
        <v>#REF!</v>
      </c>
      <c r="D304" s="78" t="e">
        <f t="shared" ca="1" si="58"/>
        <v>#REF!</v>
      </c>
      <c r="E304" s="489" t="e">
        <f ca="1">OFFSET(Нагреватели!#REF!,B304-1,0)</f>
        <v>#REF!</v>
      </c>
      <c r="F304" s="500" t="s">
        <v>591</v>
      </c>
      <c r="G304" s="101" t="e">
        <f t="shared" si="59"/>
        <v>#REF!</v>
      </c>
      <c r="H304" s="102" t="e">
        <f t="shared" si="60"/>
        <v>#REF!</v>
      </c>
      <c r="I304" s="520" t="str">
        <f t="shared" si="61"/>
        <v>Ø250=ЛОЖЬ</v>
      </c>
      <c r="J304" s="103">
        <v>250</v>
      </c>
      <c r="K304" s="104"/>
      <c r="L304" s="77" t="str">
        <f t="shared" si="62"/>
        <v>Ø250</v>
      </c>
      <c r="M304" s="105">
        <f>IF(K304&gt;1,J304*K304,PI()*J304^2/4)/1000000</f>
        <v>4.9087385212340517E-2</v>
      </c>
      <c r="N304" s="106">
        <v>490</v>
      </c>
      <c r="O304" s="107">
        <v>11</v>
      </c>
      <c r="P304" s="107" t="s">
        <v>240</v>
      </c>
      <c r="Q304" s="267">
        <v>15</v>
      </c>
      <c r="R304" s="267" t="e">
        <f>IFERROR(VLOOKUP(L304,ПП_Расчет!C$10:F$19,3,0),ПП_Расчет!E$10)</f>
        <v>#REF!</v>
      </c>
      <c r="S304" s="267" t="e">
        <f>IFERROR(VLOOKUP(L304,ПП_Расчет!C$10:F$19,4,0),ПП_Расчет!F$10)</f>
        <v>#REF!</v>
      </c>
      <c r="T304" s="267"/>
      <c r="U304" s="267"/>
      <c r="V304" s="267"/>
      <c r="W304" s="104">
        <v>194</v>
      </c>
      <c r="X304" s="104">
        <v>884</v>
      </c>
      <c r="Y304" s="104">
        <v>3</v>
      </c>
      <c r="Z304" s="104">
        <v>31</v>
      </c>
      <c r="AA304" s="77">
        <f t="shared" si="64"/>
        <v>2.8411530112165542E-5</v>
      </c>
      <c r="AB304" s="62">
        <f t="shared" si="65"/>
        <v>9.9520806840130809E-3</v>
      </c>
      <c r="AH304" s="40"/>
      <c r="AJ304" s="41"/>
      <c r="AK304" s="41"/>
      <c r="AL304" s="41"/>
      <c r="AP304" s="40"/>
      <c r="AQ304" s="40"/>
      <c r="AR304" s="41"/>
      <c r="AS304" s="41"/>
    </row>
    <row r="305" spans="1:45">
      <c r="A305" s="538" t="s">
        <v>966</v>
      </c>
      <c r="B305" s="77">
        <f>MATCH(A305,Нагреватели!B$7:B$2018,0)</f>
        <v>29</v>
      </c>
      <c r="C305" s="78" t="e">
        <f ca="1">OFFSET(Нагреватели!#REF!,B305-1,0)</f>
        <v>#REF!</v>
      </c>
      <c r="D305" s="78" t="e">
        <f t="shared" ca="1" si="58"/>
        <v>#REF!</v>
      </c>
      <c r="E305" s="489" t="e">
        <f ca="1">OFFSET(Нагреватели!#REF!,B305-1,0)</f>
        <v>#REF!</v>
      </c>
      <c r="F305" s="500" t="s">
        <v>591</v>
      </c>
      <c r="G305" s="101" t="e">
        <f t="shared" si="59"/>
        <v>#REF!</v>
      </c>
      <c r="H305" s="102" t="e">
        <f t="shared" si="60"/>
        <v>#REF!</v>
      </c>
      <c r="I305" s="520" t="str">
        <f t="shared" si="61"/>
        <v>Ø250=ЛОЖЬ</v>
      </c>
      <c r="J305" s="103">
        <v>250</v>
      </c>
      <c r="K305" s="104"/>
      <c r="L305" s="77" t="str">
        <f t="shared" si="62"/>
        <v>Ø250</v>
      </c>
      <c r="M305" s="105">
        <f t="shared" si="63"/>
        <v>4.9087385212340517E-2</v>
      </c>
      <c r="N305" s="106">
        <v>200</v>
      </c>
      <c r="O305" s="107">
        <v>4.5</v>
      </c>
      <c r="P305" s="107" t="s">
        <v>241</v>
      </c>
      <c r="Q305" s="267">
        <v>0</v>
      </c>
      <c r="R305" s="267" t="e">
        <f>IFERROR(VLOOKUP(L305,ПП_Расчет!C$10:F$19,3,0),ПП_Расчет!E$10)</f>
        <v>#REF!</v>
      </c>
      <c r="S305" s="267" t="e">
        <f>IFERROR(VLOOKUP(L305,ПП_Расчет!C$10:F$19,4,0),ПП_Расчет!F$10)</f>
        <v>#REF!</v>
      </c>
      <c r="T305" s="267"/>
      <c r="U305" s="267"/>
      <c r="V305" s="267"/>
      <c r="W305" s="104">
        <v>194</v>
      </c>
      <c r="X305" s="104">
        <v>884</v>
      </c>
      <c r="Y305" s="104">
        <v>6</v>
      </c>
      <c r="Z305" s="104">
        <v>60</v>
      </c>
      <c r="AA305" s="77">
        <f t="shared" si="64"/>
        <v>5.3544156689673065E-5</v>
      </c>
      <c r="AB305" s="62">
        <f t="shared" si="65"/>
        <v>2.0540268653749819E-2</v>
      </c>
      <c r="AH305" s="40"/>
      <c r="AJ305" s="41"/>
      <c r="AK305" s="41"/>
      <c r="AL305" s="41"/>
      <c r="AP305" s="40"/>
      <c r="AQ305" s="40"/>
      <c r="AR305" s="41"/>
      <c r="AS305" s="41"/>
    </row>
    <row r="306" spans="1:45">
      <c r="A306" s="537" t="s">
        <v>967</v>
      </c>
      <c r="B306" s="81">
        <f>MATCH(A306,Нагреватели!B$7:B$2018,0)</f>
        <v>24</v>
      </c>
      <c r="C306" s="82" t="e">
        <f ca="1">OFFSET(Нагреватели!#REF!,B306-1,0)</f>
        <v>#REF!</v>
      </c>
      <c r="D306" s="82" t="e">
        <f t="shared" ca="1" si="58"/>
        <v>#REF!</v>
      </c>
      <c r="E306" s="488" t="e">
        <f ca="1">OFFSET(Нагреватели!#REF!,B306-1,0)</f>
        <v>#REF!</v>
      </c>
      <c r="F306" s="145" t="s">
        <v>591</v>
      </c>
      <c r="G306" s="83" t="e">
        <f t="shared" si="59"/>
        <v>#REF!</v>
      </c>
      <c r="H306" s="84" t="e">
        <f t="shared" si="60"/>
        <v>#REF!</v>
      </c>
      <c r="I306" s="518" t="str">
        <f t="shared" si="61"/>
        <v>Ø315=ЛОЖЬ</v>
      </c>
      <c r="J306" s="85">
        <v>315</v>
      </c>
      <c r="K306" s="86"/>
      <c r="L306" s="81" t="str">
        <f t="shared" si="62"/>
        <v>Ø315</v>
      </c>
      <c r="M306" s="87">
        <f t="shared" si="63"/>
        <v>7.793113276311181E-2</v>
      </c>
      <c r="N306" s="88">
        <v>370</v>
      </c>
      <c r="O306" s="89">
        <v>8.9</v>
      </c>
      <c r="P306" s="89" t="s">
        <v>240</v>
      </c>
      <c r="Q306" s="266">
        <v>6</v>
      </c>
      <c r="R306" s="266" t="e">
        <f>IFERROR(VLOOKUP(L306,ПП_Расчет!C$10:F$19,3,0),ПП_Расчет!E$10)</f>
        <v>#REF!</v>
      </c>
      <c r="S306" s="266" t="e">
        <f>IFERROR(VLOOKUP(L306,ПП_Расчет!C$10:F$19,4,0),ПП_Расчет!F$10)</f>
        <v>#REF!</v>
      </c>
      <c r="T306" s="266"/>
      <c r="U306" s="266"/>
      <c r="V306" s="266"/>
      <c r="W306" s="86">
        <v>309</v>
      </c>
      <c r="X306" s="86">
        <v>1403</v>
      </c>
      <c r="Y306" s="86">
        <v>3</v>
      </c>
      <c r="Z306" s="86">
        <v>31</v>
      </c>
      <c r="AA306" s="81">
        <f t="shared" si="64"/>
        <v>1.1322460473638386E-5</v>
      </c>
      <c r="AB306" s="52">
        <f t="shared" si="65"/>
        <v>6.2100975777234085E-3</v>
      </c>
      <c r="AH306" s="40"/>
      <c r="AJ306" s="41"/>
      <c r="AK306" s="41"/>
      <c r="AL306" s="41"/>
      <c r="AP306" s="40"/>
      <c r="AQ306" s="40"/>
      <c r="AR306" s="41"/>
      <c r="AS306" s="41"/>
    </row>
    <row r="307" spans="1:45">
      <c r="A307" s="538" t="s">
        <v>968</v>
      </c>
      <c r="B307" s="77">
        <f>MATCH(A307,Нагреватели!B$7:B$2018,0)</f>
        <v>25</v>
      </c>
      <c r="C307" s="78" t="e">
        <f ca="1">OFFSET(Нагреватели!#REF!,B307-1,0)</f>
        <v>#REF!</v>
      </c>
      <c r="D307" s="78" t="e">
        <f t="shared" ca="1" si="58"/>
        <v>#REF!</v>
      </c>
      <c r="E307" s="489" t="e">
        <f ca="1">OFFSET(Нагреватели!#REF!,B307-1,0)</f>
        <v>#REF!</v>
      </c>
      <c r="F307" s="500" t="s">
        <v>591</v>
      </c>
      <c r="G307" s="101" t="e">
        <f t="shared" si="59"/>
        <v>#REF!</v>
      </c>
      <c r="H307" s="102" t="e">
        <f t="shared" si="60"/>
        <v>#REF!</v>
      </c>
      <c r="I307" s="520" t="str">
        <f t="shared" si="61"/>
        <v>Ø315=ЛОЖЬ</v>
      </c>
      <c r="J307" s="103">
        <v>315</v>
      </c>
      <c r="K307" s="104"/>
      <c r="L307" s="77" t="str">
        <f t="shared" si="62"/>
        <v>Ø315</v>
      </c>
      <c r="M307" s="105">
        <f>IF(K307&gt;1,J307*K307,PI()*J307^2/4)/1000000</f>
        <v>7.793113276311181E-2</v>
      </c>
      <c r="N307" s="106">
        <v>370</v>
      </c>
      <c r="O307" s="107">
        <v>9.6999999999999993</v>
      </c>
      <c r="P307" s="107" t="s">
        <v>240</v>
      </c>
      <c r="Q307" s="267">
        <v>9</v>
      </c>
      <c r="R307" s="267" t="e">
        <f>IFERROR(VLOOKUP(L307,ПП_Расчет!C$10:F$19,3,0),ПП_Расчет!E$10)</f>
        <v>#REF!</v>
      </c>
      <c r="S307" s="267" t="e">
        <f>IFERROR(VLOOKUP(L307,ПП_Расчет!C$10:F$19,4,0),ПП_Расчет!F$10)</f>
        <v>#REF!</v>
      </c>
      <c r="T307" s="267"/>
      <c r="U307" s="267"/>
      <c r="V307" s="267"/>
      <c r="W307" s="104">
        <v>309</v>
      </c>
      <c r="X307" s="104">
        <v>1403</v>
      </c>
      <c r="Y307" s="104">
        <v>3</v>
      </c>
      <c r="Z307" s="104">
        <v>31</v>
      </c>
      <c r="AA307" s="77">
        <f t="shared" si="64"/>
        <v>1.1322460473638386E-5</v>
      </c>
      <c r="AB307" s="62">
        <f t="shared" si="65"/>
        <v>6.2100975777234085E-3</v>
      </c>
      <c r="AH307" s="40"/>
      <c r="AJ307" s="41"/>
      <c r="AK307" s="41"/>
      <c r="AL307" s="41"/>
      <c r="AP307" s="40"/>
      <c r="AQ307" s="40"/>
      <c r="AR307" s="41"/>
      <c r="AS307" s="41"/>
    </row>
    <row r="308" spans="1:45">
      <c r="A308" s="538" t="s">
        <v>969</v>
      </c>
      <c r="B308" s="77">
        <f>MATCH(A308,Нагреватели!B$7:B$2018,0)</f>
        <v>21</v>
      </c>
      <c r="C308" s="78" t="e">
        <f ca="1">OFFSET(Нагреватели!#REF!,B308-1,0)</f>
        <v>#REF!</v>
      </c>
      <c r="D308" s="78" t="e">
        <f t="shared" ca="1" si="58"/>
        <v>#REF!</v>
      </c>
      <c r="E308" s="489" t="e">
        <f ca="1">OFFSET(Нагреватели!#REF!,B308-1,0)</f>
        <v>#REF!</v>
      </c>
      <c r="F308" s="500" t="s">
        <v>591</v>
      </c>
      <c r="G308" s="101" t="e">
        <f t="shared" si="59"/>
        <v>#REF!</v>
      </c>
      <c r="H308" s="102" t="e">
        <f t="shared" si="60"/>
        <v>#REF!</v>
      </c>
      <c r="I308" s="520" t="str">
        <f t="shared" si="61"/>
        <v>Ø315=ЛОЖЬ</v>
      </c>
      <c r="J308" s="103">
        <v>315</v>
      </c>
      <c r="K308" s="104"/>
      <c r="L308" s="77" t="str">
        <f t="shared" si="62"/>
        <v>Ø315</v>
      </c>
      <c r="M308" s="105">
        <f>IF(K308&gt;1,J308*K308,PI()*J308^2/4)/1000000</f>
        <v>7.793113276311181E-2</v>
      </c>
      <c r="N308" s="106">
        <v>490</v>
      </c>
      <c r="O308" s="107">
        <v>12.2</v>
      </c>
      <c r="P308" s="107" t="s">
        <v>240</v>
      </c>
      <c r="Q308" s="267">
        <v>12</v>
      </c>
      <c r="R308" s="267" t="e">
        <f>IFERROR(VLOOKUP(L308,ПП_Расчет!C$10:F$19,3,0),ПП_Расчет!E$10)</f>
        <v>#REF!</v>
      </c>
      <c r="S308" s="267" t="e">
        <f>IFERROR(VLOOKUP(L308,ПП_Расчет!C$10:F$19,4,0),ПП_Расчет!F$10)</f>
        <v>#REF!</v>
      </c>
      <c r="T308" s="267"/>
      <c r="U308" s="267"/>
      <c r="V308" s="267"/>
      <c r="W308" s="104">
        <v>309</v>
      </c>
      <c r="X308" s="104">
        <v>1403</v>
      </c>
      <c r="Y308" s="104">
        <v>3</v>
      </c>
      <c r="Z308" s="104">
        <v>31</v>
      </c>
      <c r="AA308" s="77">
        <f t="shared" si="64"/>
        <v>1.1322460473638386E-5</v>
      </c>
      <c r="AB308" s="62">
        <f t="shared" si="65"/>
        <v>6.2100975777234085E-3</v>
      </c>
      <c r="AH308" s="40"/>
      <c r="AJ308" s="41"/>
      <c r="AK308" s="41"/>
      <c r="AL308" s="41"/>
      <c r="AP308" s="40"/>
      <c r="AQ308" s="40"/>
      <c r="AR308" s="41"/>
      <c r="AS308" s="41"/>
    </row>
    <row r="309" spans="1:45">
      <c r="A309" s="538" t="s">
        <v>970</v>
      </c>
      <c r="B309" s="77">
        <f>MATCH(A309,Нагреватели!B$7:B$2018,0)</f>
        <v>22</v>
      </c>
      <c r="C309" s="78" t="e">
        <f ca="1">OFFSET(Нагреватели!#REF!,B309-1,0)</f>
        <v>#REF!</v>
      </c>
      <c r="D309" s="78" t="e">
        <f t="shared" ca="1" si="58"/>
        <v>#REF!</v>
      </c>
      <c r="E309" s="489" t="e">
        <f ca="1">OFFSET(Нагреватели!#REF!,B309-1,0)</f>
        <v>#REF!</v>
      </c>
      <c r="F309" s="500" t="s">
        <v>591</v>
      </c>
      <c r="G309" s="101" t="e">
        <f t="shared" si="59"/>
        <v>#REF!</v>
      </c>
      <c r="H309" s="102" t="e">
        <f t="shared" si="60"/>
        <v>#REF!</v>
      </c>
      <c r="I309" s="520" t="str">
        <f t="shared" si="61"/>
        <v>Ø315=ЛОЖЬ</v>
      </c>
      <c r="J309" s="103">
        <v>315</v>
      </c>
      <c r="K309" s="104"/>
      <c r="L309" s="77" t="str">
        <f t="shared" si="62"/>
        <v>Ø315</v>
      </c>
      <c r="M309" s="105">
        <f>IF(K309&gt;1,J309*K309,PI()*J309^2/4)/1000000</f>
        <v>7.793113276311181E-2</v>
      </c>
      <c r="N309" s="106">
        <v>490</v>
      </c>
      <c r="O309" s="107">
        <v>12.5</v>
      </c>
      <c r="P309" s="107" t="s">
        <v>240</v>
      </c>
      <c r="Q309" s="267">
        <v>15</v>
      </c>
      <c r="R309" s="267" t="e">
        <f>IFERROR(VLOOKUP(L309,ПП_Расчет!C$10:F$19,3,0),ПП_Расчет!E$10)</f>
        <v>#REF!</v>
      </c>
      <c r="S309" s="267" t="e">
        <f>IFERROR(VLOOKUP(L309,ПП_Расчет!C$10:F$19,4,0),ПП_Расчет!F$10)</f>
        <v>#REF!</v>
      </c>
      <c r="T309" s="267"/>
      <c r="U309" s="267"/>
      <c r="V309" s="267"/>
      <c r="W309" s="104">
        <v>309</v>
      </c>
      <c r="X309" s="104">
        <v>1403</v>
      </c>
      <c r="Y309" s="104">
        <v>3</v>
      </c>
      <c r="Z309" s="104">
        <v>31</v>
      </c>
      <c r="AA309" s="77">
        <f t="shared" si="64"/>
        <v>1.1322460473638386E-5</v>
      </c>
      <c r="AB309" s="62">
        <f t="shared" si="65"/>
        <v>6.2100975777234085E-3</v>
      </c>
      <c r="AH309" s="40"/>
      <c r="AJ309" s="41"/>
      <c r="AK309" s="41"/>
      <c r="AL309" s="41"/>
      <c r="AP309" s="40"/>
      <c r="AQ309" s="40"/>
      <c r="AR309" s="41"/>
      <c r="AS309" s="41"/>
    </row>
    <row r="310" spans="1:45">
      <c r="A310" s="538" t="s">
        <v>971</v>
      </c>
      <c r="B310" s="77">
        <f>MATCH(A310,Нагреватели!B$7:B$2018,0)</f>
        <v>23</v>
      </c>
      <c r="C310" s="78" t="e">
        <f ca="1">OFFSET(Нагреватели!#REF!,B310-1,0)</f>
        <v>#REF!</v>
      </c>
      <c r="D310" s="78" t="e">
        <f t="shared" ca="1" si="58"/>
        <v>#REF!</v>
      </c>
      <c r="E310" s="489" t="e">
        <f ca="1">OFFSET(Нагреватели!#REF!,B310-1,0)</f>
        <v>#REF!</v>
      </c>
      <c r="F310" s="500" t="s">
        <v>591</v>
      </c>
      <c r="G310" s="101" t="e">
        <f t="shared" si="59"/>
        <v>#REF!</v>
      </c>
      <c r="H310" s="102" t="e">
        <f t="shared" si="60"/>
        <v>#REF!</v>
      </c>
      <c r="I310" s="520" t="str">
        <f t="shared" si="61"/>
        <v>Ø315=ЛОЖЬ</v>
      </c>
      <c r="J310" s="103">
        <v>315</v>
      </c>
      <c r="K310" s="104"/>
      <c r="L310" s="77" t="str">
        <f t="shared" si="62"/>
        <v>Ø315</v>
      </c>
      <c r="M310" s="105">
        <f>IF(K310&gt;1,J310*K310,PI()*J310^2/4)/1000000</f>
        <v>7.793113276311181E-2</v>
      </c>
      <c r="N310" s="106">
        <v>490</v>
      </c>
      <c r="O310" s="107">
        <v>13.8</v>
      </c>
      <c r="P310" s="107" t="s">
        <v>240</v>
      </c>
      <c r="Q310" s="267">
        <v>18</v>
      </c>
      <c r="R310" s="267" t="e">
        <f>IFERROR(VLOOKUP(L310,ПП_Расчет!C$10:F$19,3,0),ПП_Расчет!E$10)</f>
        <v>#REF!</v>
      </c>
      <c r="S310" s="267" t="e">
        <f>IFERROR(VLOOKUP(L310,ПП_Расчет!C$10:F$19,4,0),ПП_Расчет!F$10)</f>
        <v>#REF!</v>
      </c>
      <c r="T310" s="267"/>
      <c r="U310" s="267"/>
      <c r="V310" s="267"/>
      <c r="W310" s="104">
        <v>309</v>
      </c>
      <c r="X310" s="104">
        <v>1403</v>
      </c>
      <c r="Y310" s="104">
        <v>3</v>
      </c>
      <c r="Z310" s="104">
        <v>31</v>
      </c>
      <c r="AA310" s="77">
        <f t="shared" si="64"/>
        <v>1.1322460473638386E-5</v>
      </c>
      <c r="AB310" s="62">
        <f t="shared" si="65"/>
        <v>6.2100975777234085E-3</v>
      </c>
      <c r="AH310" s="40"/>
      <c r="AJ310" s="41"/>
      <c r="AK310" s="41"/>
      <c r="AL310" s="41"/>
      <c r="AP310" s="40"/>
      <c r="AQ310" s="40"/>
      <c r="AR310" s="41"/>
      <c r="AS310" s="41"/>
    </row>
    <row r="311" spans="1:45">
      <c r="A311" s="538" t="s">
        <v>972</v>
      </c>
      <c r="B311" s="77">
        <f>MATCH(A311,Нагреватели!B$7:B$2018,0)</f>
        <v>30</v>
      </c>
      <c r="C311" s="78" t="e">
        <f ca="1">OFFSET(Нагреватели!#REF!,B311-1,0)</f>
        <v>#REF!</v>
      </c>
      <c r="D311" s="78" t="e">
        <f t="shared" ca="1" si="58"/>
        <v>#REF!</v>
      </c>
      <c r="E311" s="489" t="e">
        <f ca="1">OFFSET(Нагреватели!#REF!,B311-1,0)</f>
        <v>#REF!</v>
      </c>
      <c r="F311" s="500" t="s">
        <v>591</v>
      </c>
      <c r="G311" s="101" t="e">
        <f t="shared" si="59"/>
        <v>#REF!</v>
      </c>
      <c r="H311" s="102" t="e">
        <f t="shared" si="60"/>
        <v>#REF!</v>
      </c>
      <c r="I311" s="520" t="str">
        <f t="shared" si="61"/>
        <v>Ø315=ЛОЖЬ</v>
      </c>
      <c r="J311" s="103">
        <v>315</v>
      </c>
      <c r="K311" s="104"/>
      <c r="L311" s="77" t="str">
        <f t="shared" si="62"/>
        <v>Ø315</v>
      </c>
      <c r="M311" s="105">
        <f t="shared" si="63"/>
        <v>7.793113276311181E-2</v>
      </c>
      <c r="N311" s="106">
        <v>200</v>
      </c>
      <c r="O311" s="107">
        <v>5</v>
      </c>
      <c r="P311" s="107" t="s">
        <v>241</v>
      </c>
      <c r="Q311" s="267">
        <v>0</v>
      </c>
      <c r="R311" s="267" t="e">
        <f>IFERROR(VLOOKUP(L311,ПП_Расчет!C$10:F$19,3,0),ПП_Расчет!E$10)</f>
        <v>#REF!</v>
      </c>
      <c r="S311" s="267" t="e">
        <f>IFERROR(VLOOKUP(L311,ПП_Расчет!C$10:F$19,4,0),ПП_Расчет!F$10)</f>
        <v>#REF!</v>
      </c>
      <c r="T311" s="267"/>
      <c r="U311" s="267"/>
      <c r="V311" s="267"/>
      <c r="W311" s="104">
        <v>309</v>
      </c>
      <c r="X311" s="104">
        <v>1403</v>
      </c>
      <c r="Y311" s="104">
        <v>6</v>
      </c>
      <c r="Z311" s="104">
        <v>60</v>
      </c>
      <c r="AA311" s="77">
        <f t="shared" si="64"/>
        <v>2.1341889183271458E-5</v>
      </c>
      <c r="AB311" s="62">
        <f t="shared" si="65"/>
        <v>1.2822831970524457E-2</v>
      </c>
      <c r="AH311" s="40"/>
      <c r="AJ311" s="41"/>
      <c r="AK311" s="41"/>
      <c r="AL311" s="41"/>
      <c r="AP311" s="40"/>
      <c r="AQ311" s="40"/>
      <c r="AR311" s="41"/>
      <c r="AS311" s="41"/>
    </row>
    <row r="312" spans="1:45">
      <c r="A312" s="537" t="s">
        <v>973</v>
      </c>
      <c r="B312" s="81">
        <f>MATCH(A312,Нагреватели!B$7:B$2018,0)</f>
        <v>80</v>
      </c>
      <c r="C312" s="82" t="e">
        <f ca="1">OFFSET(Нагреватели!#REF!,B312-1,0)</f>
        <v>#REF!</v>
      </c>
      <c r="D312" s="82" t="e">
        <f t="shared" ca="1" si="58"/>
        <v>#REF!</v>
      </c>
      <c r="E312" s="488" t="e">
        <f ca="1">OFFSET(Нагреватели!#REF!,B312-1,0)</f>
        <v>#REF!</v>
      </c>
      <c r="F312" s="145" t="s">
        <v>591</v>
      </c>
      <c r="G312" s="83" t="e">
        <f t="shared" si="59"/>
        <v>#REF!</v>
      </c>
      <c r="H312" s="84" t="e">
        <f t="shared" si="60"/>
        <v>#REF!</v>
      </c>
      <c r="I312" s="518" t="str">
        <f t="shared" si="61"/>
        <v>400x200=ЛОЖЬ</v>
      </c>
      <c r="J312" s="86">
        <v>400</v>
      </c>
      <c r="K312" s="86">
        <v>200</v>
      </c>
      <c r="L312" s="81" t="str">
        <f t="shared" si="62"/>
        <v>400x200</v>
      </c>
      <c r="M312" s="87">
        <f t="shared" ref="M312:M318" si="66">IF(K312&gt;1,J312*K312,PI()*J312^2/4)/1000000</f>
        <v>0.08</v>
      </c>
      <c r="N312" s="88">
        <v>400</v>
      </c>
      <c r="O312" s="89">
        <v>10</v>
      </c>
      <c r="P312" s="89" t="s">
        <v>240</v>
      </c>
      <c r="Q312" s="266">
        <v>3</v>
      </c>
      <c r="R312" s="266" t="e">
        <f>IFERROR(VLOOKUP(L312,ПП_Расчет!C$10:F$19,3,0),ПП_Расчет!E$10)</f>
        <v>#REF!</v>
      </c>
      <c r="S312" s="266" t="e">
        <f>IFERROR(VLOOKUP(L312,ПП_Расчет!C$10:F$19,4,0),ПП_Расчет!F$10)</f>
        <v>#REF!</v>
      </c>
      <c r="T312" s="266"/>
      <c r="U312" s="266"/>
      <c r="V312" s="266"/>
      <c r="W312" s="86">
        <v>288</v>
      </c>
      <c r="X312" s="86">
        <v>1584</v>
      </c>
      <c r="Y312" s="86">
        <v>6</v>
      </c>
      <c r="Z312" s="86">
        <v>78</v>
      </c>
      <c r="AA312" s="81">
        <f t="shared" si="64"/>
        <v>2.1920594837261502E-5</v>
      </c>
      <c r="AB312" s="52">
        <f t="shared" si="65"/>
        <v>1.452020202020202E-2</v>
      </c>
      <c r="AH312" s="40"/>
      <c r="AJ312" s="41"/>
      <c r="AK312" s="41"/>
      <c r="AL312" s="41"/>
      <c r="AP312" s="40"/>
      <c r="AQ312" s="40"/>
      <c r="AR312" s="41"/>
      <c r="AS312" s="41"/>
    </row>
    <row r="313" spans="1:45">
      <c r="A313" s="538" t="s">
        <v>974</v>
      </c>
      <c r="B313" s="77">
        <f>MATCH(A313,Нагреватели!B$7:B$2018,0)</f>
        <v>81</v>
      </c>
      <c r="C313" s="78" t="e">
        <f ca="1">OFFSET(Нагреватели!#REF!,B313-1,0)</f>
        <v>#REF!</v>
      </c>
      <c r="D313" s="78" t="e">
        <f t="shared" ca="1" si="58"/>
        <v>#REF!</v>
      </c>
      <c r="E313" s="489" t="e">
        <f ca="1">OFFSET(Нагреватели!#REF!,B313-1,0)</f>
        <v>#REF!</v>
      </c>
      <c r="F313" s="500" t="s">
        <v>591</v>
      </c>
      <c r="G313" s="101" t="e">
        <f t="shared" si="59"/>
        <v>#REF!</v>
      </c>
      <c r="H313" s="102" t="e">
        <f t="shared" si="60"/>
        <v>#REF!</v>
      </c>
      <c r="I313" s="520" t="str">
        <f t="shared" si="61"/>
        <v>400x200=ЛОЖЬ</v>
      </c>
      <c r="J313" s="103">
        <v>400</v>
      </c>
      <c r="K313" s="104">
        <v>200</v>
      </c>
      <c r="L313" s="77" t="str">
        <f t="shared" si="62"/>
        <v>400x200</v>
      </c>
      <c r="M313" s="105">
        <f>IF(K313&gt;1,J313*K313,PI()*J313^2/4)/1000000</f>
        <v>0.08</v>
      </c>
      <c r="N313" s="106">
        <v>400</v>
      </c>
      <c r="O313" s="107">
        <v>10</v>
      </c>
      <c r="P313" s="107" t="s">
        <v>240</v>
      </c>
      <c r="Q313" s="267">
        <v>6</v>
      </c>
      <c r="R313" s="267" t="e">
        <f>IFERROR(VLOOKUP(L313,ПП_Расчет!C$10:F$19,3,0),ПП_Расчет!E$10)</f>
        <v>#REF!</v>
      </c>
      <c r="S313" s="267" t="e">
        <f>IFERROR(VLOOKUP(L313,ПП_Расчет!C$10:F$19,4,0),ПП_Расчет!F$10)</f>
        <v>#REF!</v>
      </c>
      <c r="T313" s="267"/>
      <c r="U313" s="267"/>
      <c r="V313" s="267"/>
      <c r="W313" s="104">
        <v>288</v>
      </c>
      <c r="X313" s="104">
        <v>1584</v>
      </c>
      <c r="Y313" s="104">
        <v>6</v>
      </c>
      <c r="Z313" s="104">
        <v>78</v>
      </c>
      <c r="AA313" s="77">
        <f t="shared" si="64"/>
        <v>2.1920594837261502E-5</v>
      </c>
      <c r="AB313" s="62">
        <f t="shared" si="65"/>
        <v>1.452020202020202E-2</v>
      </c>
      <c r="AH313" s="40"/>
      <c r="AJ313" s="41"/>
      <c r="AK313" s="41"/>
      <c r="AL313" s="41"/>
      <c r="AP313" s="40"/>
      <c r="AQ313" s="40"/>
      <c r="AR313" s="41"/>
      <c r="AS313" s="41"/>
    </row>
    <row r="314" spans="1:45">
      <c r="A314" s="538" t="s">
        <v>975</v>
      </c>
      <c r="B314" s="77">
        <f>MATCH(A314,Нагреватели!B$7:B$2018,0)</f>
        <v>82</v>
      </c>
      <c r="C314" s="78" t="e">
        <f ca="1">OFFSET(Нагреватели!#REF!,B314-1,0)</f>
        <v>#REF!</v>
      </c>
      <c r="D314" s="78" t="e">
        <f t="shared" ca="1" si="58"/>
        <v>#REF!</v>
      </c>
      <c r="E314" s="489" t="e">
        <f ca="1">OFFSET(Нагреватели!#REF!,B314-1,0)</f>
        <v>#REF!</v>
      </c>
      <c r="F314" s="500" t="s">
        <v>591</v>
      </c>
      <c r="G314" s="101" t="e">
        <f t="shared" si="59"/>
        <v>#REF!</v>
      </c>
      <c r="H314" s="102" t="e">
        <f t="shared" si="60"/>
        <v>#REF!</v>
      </c>
      <c r="I314" s="520" t="str">
        <f t="shared" si="61"/>
        <v>400x200=ЛОЖЬ</v>
      </c>
      <c r="J314" s="103">
        <v>400</v>
      </c>
      <c r="K314" s="104">
        <v>200</v>
      </c>
      <c r="L314" s="77" t="str">
        <f t="shared" si="62"/>
        <v>400x200</v>
      </c>
      <c r="M314" s="105">
        <f t="shared" si="66"/>
        <v>0.08</v>
      </c>
      <c r="N314" s="106">
        <v>400</v>
      </c>
      <c r="O314" s="107">
        <v>10</v>
      </c>
      <c r="P314" s="107" t="s">
        <v>240</v>
      </c>
      <c r="Q314" s="267">
        <v>8</v>
      </c>
      <c r="R314" s="267" t="e">
        <f>IFERROR(VLOOKUP(L314,ПП_Расчет!C$10:F$19,3,0),ПП_Расчет!E$10)</f>
        <v>#REF!</v>
      </c>
      <c r="S314" s="267" t="e">
        <f>IFERROR(VLOOKUP(L314,ПП_Расчет!C$10:F$19,4,0),ПП_Расчет!F$10)</f>
        <v>#REF!</v>
      </c>
      <c r="T314" s="267"/>
      <c r="U314" s="267"/>
      <c r="V314" s="267"/>
      <c r="W314" s="104">
        <v>288</v>
      </c>
      <c r="X314" s="104">
        <v>1584</v>
      </c>
      <c r="Y314" s="104">
        <v>6</v>
      </c>
      <c r="Z314" s="104">
        <v>78</v>
      </c>
      <c r="AA314" s="77">
        <f t="shared" si="64"/>
        <v>2.1920594837261502E-5</v>
      </c>
      <c r="AB314" s="62">
        <f t="shared" si="65"/>
        <v>1.452020202020202E-2</v>
      </c>
      <c r="AH314" s="40"/>
      <c r="AJ314" s="41"/>
      <c r="AK314" s="41"/>
      <c r="AL314" s="41"/>
      <c r="AP314" s="40"/>
      <c r="AQ314" s="40"/>
      <c r="AR314" s="41"/>
      <c r="AS314" s="41"/>
    </row>
    <row r="315" spans="1:45">
      <c r="A315" s="538" t="s">
        <v>976</v>
      </c>
      <c r="B315" s="77">
        <f>MATCH(A315,Нагреватели!B$7:B$2018,0)</f>
        <v>78</v>
      </c>
      <c r="C315" s="78" t="e">
        <f ca="1">OFFSET(Нагреватели!#REF!,B315-1,0)</f>
        <v>#REF!</v>
      </c>
      <c r="D315" s="78" t="e">
        <f t="shared" ca="1" si="58"/>
        <v>#REF!</v>
      </c>
      <c r="E315" s="489" t="e">
        <f ca="1">OFFSET(Нагреватели!#REF!,B315-1,0)</f>
        <v>#REF!</v>
      </c>
      <c r="F315" s="500" t="s">
        <v>591</v>
      </c>
      <c r="G315" s="101" t="e">
        <f t="shared" si="59"/>
        <v>#REF!</v>
      </c>
      <c r="H315" s="102" t="e">
        <f t="shared" si="60"/>
        <v>#REF!</v>
      </c>
      <c r="I315" s="520" t="str">
        <f t="shared" si="61"/>
        <v>400x200=ЛОЖЬ</v>
      </c>
      <c r="J315" s="103">
        <v>400</v>
      </c>
      <c r="K315" s="104">
        <v>200</v>
      </c>
      <c r="L315" s="77" t="str">
        <f t="shared" si="62"/>
        <v>400x200</v>
      </c>
      <c r="M315" s="105">
        <f t="shared" si="66"/>
        <v>0.08</v>
      </c>
      <c r="N315" s="106">
        <v>800</v>
      </c>
      <c r="O315" s="107">
        <v>20</v>
      </c>
      <c r="P315" s="107" t="s">
        <v>240</v>
      </c>
      <c r="Q315" s="267">
        <v>16</v>
      </c>
      <c r="R315" s="267" t="e">
        <f>IFERROR(VLOOKUP(L315,ПП_Расчет!C$10:F$19,3,0),ПП_Расчет!E$10)</f>
        <v>#REF!</v>
      </c>
      <c r="S315" s="267" t="e">
        <f>IFERROR(VLOOKUP(L315,ПП_Расчет!C$10:F$19,4,0),ПП_Расчет!F$10)</f>
        <v>#REF!</v>
      </c>
      <c r="T315" s="267"/>
      <c r="U315" s="267"/>
      <c r="V315" s="267"/>
      <c r="W315" s="104">
        <v>288</v>
      </c>
      <c r="X315" s="104">
        <v>1440</v>
      </c>
      <c r="Y315" s="104">
        <v>10</v>
      </c>
      <c r="Z315" s="104">
        <v>100</v>
      </c>
      <c r="AA315" s="77">
        <f t="shared" si="64"/>
        <v>3.014081790123457E-5</v>
      </c>
      <c r="AB315" s="62">
        <f t="shared" si="65"/>
        <v>2.6041666666666668E-2</v>
      </c>
      <c r="AH315" s="40"/>
      <c r="AJ315" s="41"/>
      <c r="AK315" s="41"/>
      <c r="AL315" s="41"/>
      <c r="AP315" s="40"/>
      <c r="AQ315" s="40"/>
      <c r="AR315" s="41"/>
      <c r="AS315" s="41"/>
    </row>
    <row r="316" spans="1:45">
      <c r="A316" s="538" t="s">
        <v>977</v>
      </c>
      <c r="B316" s="77">
        <f>MATCH(A316,Нагреватели!B$7:B$2018,0)</f>
        <v>79</v>
      </c>
      <c r="C316" s="78" t="e">
        <f ca="1">OFFSET(Нагреватели!#REF!,B316-1,0)</f>
        <v>#REF!</v>
      </c>
      <c r="D316" s="78" t="e">
        <f t="shared" ca="1" si="58"/>
        <v>#REF!</v>
      </c>
      <c r="E316" s="489" t="e">
        <f ca="1">OFFSET(Нагреватели!#REF!,B316-1,0)</f>
        <v>#REF!</v>
      </c>
      <c r="F316" s="500" t="s">
        <v>591</v>
      </c>
      <c r="G316" s="101" t="e">
        <f t="shared" si="59"/>
        <v>#REF!</v>
      </c>
      <c r="H316" s="102" t="e">
        <f t="shared" si="60"/>
        <v>#REF!</v>
      </c>
      <c r="I316" s="520" t="str">
        <f t="shared" si="61"/>
        <v>400x200=ЛОЖЬ</v>
      </c>
      <c r="J316" s="103">
        <v>400</v>
      </c>
      <c r="K316" s="104">
        <v>200</v>
      </c>
      <c r="L316" s="77" t="str">
        <f t="shared" si="62"/>
        <v>400x200</v>
      </c>
      <c r="M316" s="105">
        <f t="shared" si="66"/>
        <v>0.08</v>
      </c>
      <c r="N316" s="106">
        <v>800</v>
      </c>
      <c r="O316" s="107">
        <v>23</v>
      </c>
      <c r="P316" s="107" t="s">
        <v>240</v>
      </c>
      <c r="Q316" s="267">
        <v>24</v>
      </c>
      <c r="R316" s="267" t="e">
        <f>IFERROR(VLOOKUP(L316,ПП_Расчет!C$10:F$19,3,0),ПП_Расчет!E$10)</f>
        <v>#REF!</v>
      </c>
      <c r="S316" s="267" t="e">
        <f>IFERROR(VLOOKUP(L316,ПП_Расчет!C$10:F$19,4,0),ПП_Расчет!F$10)</f>
        <v>#REF!</v>
      </c>
      <c r="T316" s="267"/>
      <c r="U316" s="267"/>
      <c r="V316" s="267"/>
      <c r="W316" s="104">
        <v>288</v>
      </c>
      <c r="X316" s="104">
        <v>1440</v>
      </c>
      <c r="Y316" s="104">
        <v>20</v>
      </c>
      <c r="Z316" s="104">
        <v>141</v>
      </c>
      <c r="AA316" s="77">
        <f t="shared" si="64"/>
        <v>2.4715470679012343E-5</v>
      </c>
      <c r="AB316" s="62">
        <f t="shared" si="65"/>
        <v>6.232638888888889E-2</v>
      </c>
      <c r="AH316" s="40"/>
      <c r="AJ316" s="41"/>
      <c r="AK316" s="41"/>
      <c r="AL316" s="41"/>
      <c r="AP316" s="40"/>
      <c r="AQ316" s="40"/>
      <c r="AR316" s="41"/>
      <c r="AS316" s="41"/>
    </row>
    <row r="317" spans="1:45">
      <c r="A317" s="538" t="s">
        <v>978</v>
      </c>
      <c r="B317" s="77">
        <f>MATCH(A317,Нагреватели!B$7:B$2018,0)</f>
        <v>51</v>
      </c>
      <c r="C317" s="78" t="e">
        <f ca="1">OFFSET(Нагреватели!#REF!,B317-1,0)</f>
        <v>#REF!</v>
      </c>
      <c r="D317" s="78" t="e">
        <f t="shared" ca="1" si="58"/>
        <v>#REF!</v>
      </c>
      <c r="E317" s="489" t="e">
        <f ca="1">OFFSET(Нагреватели!#REF!,B317-1,0)</f>
        <v>#REF!</v>
      </c>
      <c r="F317" s="500" t="s">
        <v>591</v>
      </c>
      <c r="G317" s="101" t="e">
        <f t="shared" si="59"/>
        <v>#REF!</v>
      </c>
      <c r="H317" s="102" t="e">
        <f t="shared" si="60"/>
        <v>#REF!</v>
      </c>
      <c r="I317" s="520" t="str">
        <f t="shared" si="61"/>
        <v>400x200=ЛОЖЬ</v>
      </c>
      <c r="J317" s="103">
        <v>400</v>
      </c>
      <c r="K317" s="104">
        <v>200</v>
      </c>
      <c r="L317" s="77" t="str">
        <f t="shared" si="62"/>
        <v>400x200</v>
      </c>
      <c r="M317" s="105">
        <f>IF(K317&gt;1,J317*K317,PI()*J317^2/4)/1000000</f>
        <v>0.08</v>
      </c>
      <c r="N317" s="106">
        <v>150</v>
      </c>
      <c r="O317" s="107">
        <v>6</v>
      </c>
      <c r="P317" s="107" t="s">
        <v>241</v>
      </c>
      <c r="Q317" s="267" t="e">
        <f>ПП_Нагреватель!B12</f>
        <v>#REF!</v>
      </c>
      <c r="R317" s="267" t="e">
        <f>IFERROR(VLOOKUP(L317,ПП_Расчет!C$10:F$19,3,0),ПП_Расчет!E$10)</f>
        <v>#REF!</v>
      </c>
      <c r="S317" s="267" t="e">
        <f>IFERROR(VLOOKUP(L317,ПП_Расчет!C$10:F$19,4,0),ПП_Расчет!F$10)</f>
        <v>#REF!</v>
      </c>
      <c r="T317" s="267" t="e">
        <f>ПП_Нагреватель!B15</f>
        <v>#REF!</v>
      </c>
      <c r="U317" s="267" t="e">
        <f>ПП_Нагреватель!B16</f>
        <v>#REF!</v>
      </c>
      <c r="V317" s="267"/>
      <c r="W317" s="104">
        <v>288</v>
      </c>
      <c r="X317" s="104">
        <v>1584</v>
      </c>
      <c r="Y317" s="104">
        <v>15</v>
      </c>
      <c r="Z317" s="104">
        <v>135</v>
      </c>
      <c r="AA317" s="77">
        <f>(Y317/W317-Z317/X317)/(W317-X317)</f>
        <v>2.5574027310138413E-5</v>
      </c>
      <c r="AB317" s="62">
        <f>Y317/W317-AA317*W317</f>
        <v>4.4718013468013476E-2</v>
      </c>
      <c r="AH317" s="40"/>
      <c r="AJ317" s="41"/>
      <c r="AK317" s="41"/>
      <c r="AL317" s="41"/>
      <c r="AP317" s="40"/>
      <c r="AQ317" s="40"/>
      <c r="AR317" s="41"/>
      <c r="AS317" s="41"/>
    </row>
    <row r="318" spans="1:45">
      <c r="A318" s="538" t="s">
        <v>979</v>
      </c>
      <c r="B318" s="77">
        <f>MATCH(A318,Нагреватели!B$7:B$2018,0)</f>
        <v>59</v>
      </c>
      <c r="C318" s="78" t="e">
        <f ca="1">OFFSET(Нагреватели!#REF!,B318-1,0)</f>
        <v>#REF!</v>
      </c>
      <c r="D318" s="78" t="e">
        <f t="shared" ca="1" si="58"/>
        <v>#REF!</v>
      </c>
      <c r="E318" s="489" t="e">
        <f ca="1">OFFSET(Нагреватели!#REF!,B318-1,0)</f>
        <v>#REF!</v>
      </c>
      <c r="F318" s="500" t="s">
        <v>591</v>
      </c>
      <c r="G318" s="101" t="e">
        <f t="shared" si="59"/>
        <v>#REF!</v>
      </c>
      <c r="H318" s="102" t="e">
        <f t="shared" si="60"/>
        <v>#REF!</v>
      </c>
      <c r="I318" s="520" t="str">
        <f t="shared" si="61"/>
        <v>400x200=ЛОЖЬ</v>
      </c>
      <c r="J318" s="103">
        <v>400</v>
      </c>
      <c r="K318" s="104">
        <v>200</v>
      </c>
      <c r="L318" s="77" t="str">
        <f t="shared" si="62"/>
        <v>400x200</v>
      </c>
      <c r="M318" s="105">
        <f t="shared" si="66"/>
        <v>0.08</v>
      </c>
      <c r="N318" s="106">
        <v>150</v>
      </c>
      <c r="O318" s="107">
        <v>9</v>
      </c>
      <c r="P318" s="107" t="s">
        <v>241</v>
      </c>
      <c r="Q318" s="267" t="e">
        <f>ПП_Нагреватель!B31</f>
        <v>#REF!</v>
      </c>
      <c r="R318" s="267" t="e">
        <f>IFERROR(VLOOKUP(L318,ПП_Расчет!C$10:F$19,3,0),ПП_Расчет!E$10)</f>
        <v>#REF!</v>
      </c>
      <c r="S318" s="267" t="e">
        <f>IFERROR(VLOOKUP(L318,ПП_Расчет!C$10:F$19,4,0),ПП_Расчет!F$10)</f>
        <v>#REF!</v>
      </c>
      <c r="T318" s="267" t="e">
        <f>ПП_Нагреватель!B34</f>
        <v>#REF!</v>
      </c>
      <c r="U318" s="267" t="e">
        <f>ПП_Нагреватель!B35</f>
        <v>#REF!</v>
      </c>
      <c r="V318" s="267"/>
      <c r="W318" s="104">
        <v>288</v>
      </c>
      <c r="X318" s="104">
        <v>1584</v>
      </c>
      <c r="Y318" s="104">
        <v>25</v>
      </c>
      <c r="Z318" s="104">
        <v>180</v>
      </c>
      <c r="AA318" s="77">
        <f t="shared" si="64"/>
        <v>2.0702784012969197E-5</v>
      </c>
      <c r="AB318" s="62">
        <f t="shared" si="65"/>
        <v>8.084315375982043E-2</v>
      </c>
      <c r="AH318" s="40"/>
      <c r="AJ318" s="41"/>
      <c r="AK318" s="41"/>
      <c r="AL318" s="41"/>
      <c r="AP318" s="40"/>
      <c r="AQ318" s="40"/>
      <c r="AR318" s="41"/>
      <c r="AS318" s="41"/>
    </row>
    <row r="319" spans="1:45">
      <c r="A319" s="537" t="s">
        <v>980</v>
      </c>
      <c r="B319" s="81">
        <f>MATCH(A319,Нагреватели!B$7:B$2018,0)</f>
        <v>86</v>
      </c>
      <c r="C319" s="82" t="e">
        <f ca="1">OFFSET(Нагреватели!#REF!,B319-1,0)</f>
        <v>#REF!</v>
      </c>
      <c r="D319" s="82" t="e">
        <f t="shared" ca="1" si="58"/>
        <v>#REF!</v>
      </c>
      <c r="E319" s="488" t="e">
        <f ca="1">OFFSET(Нагреватели!#REF!,B319-1,0)</f>
        <v>#REF!</v>
      </c>
      <c r="F319" s="145" t="s">
        <v>591</v>
      </c>
      <c r="G319" s="83" t="e">
        <f t="shared" ref="G319:G350" si="67">Задача_Расход/$M319/3600</f>
        <v>#REF!</v>
      </c>
      <c r="H319" s="84" t="e">
        <f t="shared" ref="H319:H350" si="68">Задача_Расход*(Задача_Расход*AA319+AB319)</f>
        <v>#REF!</v>
      </c>
      <c r="I319" s="518" t="str">
        <f t="shared" ref="I319:I350" si="69">CONCATENATE($L319,"=",IFERROR(AND(P319=Задача_НагревательТипТекст,Q319&gt;=R319,G319&lt;=IF(Задача_НагревательТип=1,СкоростьMAX_НагревательЭлектрический,СкоростьMAX_НагревательВодяной),G319&gt;=IF(Задача_НагревательТип=1,СкоростьMIN_НагревательЭлектрический,СкоростьMIN_НагревательВодяной)),FALSE))</f>
        <v>500x250=ЛОЖЬ</v>
      </c>
      <c r="J319" s="86">
        <v>500</v>
      </c>
      <c r="K319" s="86">
        <v>250</v>
      </c>
      <c r="L319" s="81" t="str">
        <f t="shared" si="62"/>
        <v>500x250</v>
      </c>
      <c r="M319" s="87">
        <f t="shared" ref="M319:M328" si="70">IF(K319&gt;1,J319*K319,PI()*J319^2/4)/1000000</f>
        <v>0.125</v>
      </c>
      <c r="N319" s="88">
        <v>400</v>
      </c>
      <c r="O319" s="89">
        <v>10</v>
      </c>
      <c r="P319" s="89" t="s">
        <v>240</v>
      </c>
      <c r="Q319" s="266">
        <v>8</v>
      </c>
      <c r="R319" s="266" t="e">
        <f>IFERROR(VLOOKUP(L319,ПП_Расчет!C$10:F$19,3,0),ПП_Расчет!E$10)</f>
        <v>#REF!</v>
      </c>
      <c r="S319" s="266" t="e">
        <f>IFERROR(VLOOKUP(L319,ПП_Расчет!C$10:F$19,4,0),ПП_Расчет!F$10)</f>
        <v>#REF!</v>
      </c>
      <c r="T319" s="266"/>
      <c r="U319" s="266"/>
      <c r="V319" s="266"/>
      <c r="W319" s="86">
        <v>450</v>
      </c>
      <c r="X319" s="86">
        <v>2475</v>
      </c>
      <c r="Y319" s="86">
        <v>6</v>
      </c>
      <c r="Z319" s="86">
        <v>78</v>
      </c>
      <c r="AA319" s="81">
        <f t="shared" ref="AA319:AA350" si="71">(Y319/W319-Z319/X319)/(W319-X319)</f>
        <v>8.9786756453423112E-6</v>
      </c>
      <c r="AB319" s="52">
        <f t="shared" ref="AB319:AB350" si="72">Y319/W319-AA319*W319</f>
        <v>9.2929292929292938E-3</v>
      </c>
      <c r="AH319" s="40"/>
      <c r="AJ319" s="41"/>
      <c r="AK319" s="41"/>
      <c r="AL319" s="41"/>
      <c r="AP319" s="40"/>
      <c r="AQ319" s="40"/>
      <c r="AR319" s="41"/>
      <c r="AS319" s="41"/>
    </row>
    <row r="320" spans="1:45">
      <c r="A320" s="538" t="s">
        <v>981</v>
      </c>
      <c r="B320" s="77">
        <f>MATCH(A320,Нагреватели!B$7:B$2018,0)</f>
        <v>83</v>
      </c>
      <c r="C320" s="78" t="e">
        <f ca="1">OFFSET(Нагреватели!#REF!,B320-1,0)</f>
        <v>#REF!</v>
      </c>
      <c r="D320" s="78" t="e">
        <f t="shared" ca="1" si="58"/>
        <v>#REF!</v>
      </c>
      <c r="E320" s="489" t="e">
        <f ca="1">OFFSET(Нагреватели!#REF!,B320-1,0)</f>
        <v>#REF!</v>
      </c>
      <c r="F320" s="500" t="s">
        <v>591</v>
      </c>
      <c r="G320" s="101" t="e">
        <f t="shared" si="67"/>
        <v>#REF!</v>
      </c>
      <c r="H320" s="102" t="e">
        <f t="shared" si="68"/>
        <v>#REF!</v>
      </c>
      <c r="I320" s="520" t="str">
        <f t="shared" si="69"/>
        <v>500x250=ЛОЖЬ</v>
      </c>
      <c r="J320" s="103">
        <v>500</v>
      </c>
      <c r="K320" s="104">
        <v>250</v>
      </c>
      <c r="L320" s="77" t="str">
        <f t="shared" si="62"/>
        <v>500x250</v>
      </c>
      <c r="M320" s="105">
        <f t="shared" si="70"/>
        <v>0.125</v>
      </c>
      <c r="N320" s="106">
        <v>800</v>
      </c>
      <c r="O320" s="107">
        <v>21</v>
      </c>
      <c r="P320" s="107" t="s">
        <v>240</v>
      </c>
      <c r="Q320" s="267">
        <v>16</v>
      </c>
      <c r="R320" s="267" t="e">
        <f>IFERROR(VLOOKUP(L320,ПП_Расчет!C$10:F$19,3,0),ПП_Расчет!E$10)</f>
        <v>#REF!</v>
      </c>
      <c r="S320" s="267" t="e">
        <f>IFERROR(VLOOKUP(L320,ПП_Расчет!C$10:F$19,4,0),ПП_Расчет!F$10)</f>
        <v>#REF!</v>
      </c>
      <c r="T320" s="267"/>
      <c r="U320" s="267"/>
      <c r="V320" s="267"/>
      <c r="W320" s="104">
        <v>450</v>
      </c>
      <c r="X320" s="104">
        <v>2250</v>
      </c>
      <c r="Y320" s="104">
        <v>10</v>
      </c>
      <c r="Z320" s="104">
        <v>100</v>
      </c>
      <c r="AA320" s="77">
        <f t="shared" si="71"/>
        <v>1.234567901234568E-5</v>
      </c>
      <c r="AB320" s="62">
        <f t="shared" si="72"/>
        <v>1.6666666666666666E-2</v>
      </c>
      <c r="AH320" s="40"/>
      <c r="AJ320" s="41"/>
      <c r="AK320" s="41"/>
      <c r="AL320" s="41"/>
      <c r="AP320" s="40"/>
      <c r="AQ320" s="40"/>
      <c r="AR320" s="41"/>
      <c r="AS320" s="41"/>
    </row>
    <row r="321" spans="1:45">
      <c r="A321" s="538" t="s">
        <v>982</v>
      </c>
      <c r="B321" s="77">
        <f>MATCH(A321,Нагреватели!B$7:B$2018,0)</f>
        <v>84</v>
      </c>
      <c r="C321" s="78" t="e">
        <f ca="1">OFFSET(Нагреватели!#REF!,B321-1,0)</f>
        <v>#REF!</v>
      </c>
      <c r="D321" s="78" t="e">
        <f t="shared" ca="1" si="58"/>
        <v>#REF!</v>
      </c>
      <c r="E321" s="489" t="e">
        <f ca="1">OFFSET(Нагреватели!#REF!,B321-1,0)</f>
        <v>#REF!</v>
      </c>
      <c r="F321" s="500" t="s">
        <v>591</v>
      </c>
      <c r="G321" s="101" t="e">
        <f t="shared" si="67"/>
        <v>#REF!</v>
      </c>
      <c r="H321" s="102" t="e">
        <f t="shared" si="68"/>
        <v>#REF!</v>
      </c>
      <c r="I321" s="520" t="str">
        <f t="shared" si="69"/>
        <v>500x250=ЛОЖЬ</v>
      </c>
      <c r="J321" s="103">
        <v>500</v>
      </c>
      <c r="K321" s="104">
        <v>250</v>
      </c>
      <c r="L321" s="77" t="str">
        <f t="shared" si="62"/>
        <v>500x250</v>
      </c>
      <c r="M321" s="105">
        <f t="shared" si="70"/>
        <v>0.125</v>
      </c>
      <c r="N321" s="106">
        <v>800</v>
      </c>
      <c r="O321" s="107">
        <v>24</v>
      </c>
      <c r="P321" s="107" t="s">
        <v>240</v>
      </c>
      <c r="Q321" s="267">
        <v>24</v>
      </c>
      <c r="R321" s="267" t="e">
        <f>IFERROR(VLOOKUP(L321,ПП_Расчет!C$10:F$19,3,0),ПП_Расчет!E$10)</f>
        <v>#REF!</v>
      </c>
      <c r="S321" s="267" t="e">
        <f>IFERROR(VLOOKUP(L321,ПП_Расчет!C$10:F$19,4,0),ПП_Расчет!F$10)</f>
        <v>#REF!</v>
      </c>
      <c r="T321" s="267"/>
      <c r="U321" s="267"/>
      <c r="V321" s="267"/>
      <c r="W321" s="104">
        <v>450</v>
      </c>
      <c r="X321" s="104">
        <v>2250</v>
      </c>
      <c r="Y321" s="104">
        <v>20</v>
      </c>
      <c r="Z321" s="104">
        <v>142</v>
      </c>
      <c r="AA321" s="77">
        <f t="shared" si="71"/>
        <v>1.0370370370370373E-5</v>
      </c>
      <c r="AB321" s="62">
        <f t="shared" si="72"/>
        <v>3.977777777777778E-2</v>
      </c>
      <c r="AH321" s="40"/>
      <c r="AJ321" s="41"/>
      <c r="AK321" s="41"/>
      <c r="AL321" s="41"/>
      <c r="AP321" s="40"/>
      <c r="AQ321" s="40"/>
      <c r="AR321" s="41"/>
      <c r="AS321" s="41"/>
    </row>
    <row r="322" spans="1:45">
      <c r="A322" s="538" t="s">
        <v>983</v>
      </c>
      <c r="B322" s="77">
        <f>MATCH(A322,Нагреватели!B$7:B$2018,0)</f>
        <v>85</v>
      </c>
      <c r="C322" s="78" t="e">
        <f ca="1">OFFSET(Нагреватели!#REF!,B322-1,0)</f>
        <v>#REF!</v>
      </c>
      <c r="D322" s="78" t="e">
        <f t="shared" ca="1" si="58"/>
        <v>#REF!</v>
      </c>
      <c r="E322" s="489" t="e">
        <f ca="1">OFFSET(Нагреватели!#REF!,B322-1,0)</f>
        <v>#REF!</v>
      </c>
      <c r="F322" s="500" t="s">
        <v>591</v>
      </c>
      <c r="G322" s="101" t="e">
        <f t="shared" si="67"/>
        <v>#REF!</v>
      </c>
      <c r="H322" s="102" t="e">
        <f t="shared" si="68"/>
        <v>#REF!</v>
      </c>
      <c r="I322" s="520" t="str">
        <f t="shared" si="69"/>
        <v>500x250=ЛОЖЬ</v>
      </c>
      <c r="J322" s="103">
        <v>500</v>
      </c>
      <c r="K322" s="104">
        <v>250</v>
      </c>
      <c r="L322" s="77" t="str">
        <f t="shared" si="62"/>
        <v>500x250</v>
      </c>
      <c r="M322" s="105">
        <f t="shared" si="70"/>
        <v>0.125</v>
      </c>
      <c r="N322" s="106">
        <v>1200</v>
      </c>
      <c r="O322" s="107">
        <v>35</v>
      </c>
      <c r="P322" s="107" t="s">
        <v>240</v>
      </c>
      <c r="Q322" s="267">
        <v>32</v>
      </c>
      <c r="R322" s="267" t="e">
        <f>IFERROR(VLOOKUP(L322,ПП_Расчет!C$10:F$19,3,0),ПП_Расчет!E$10)</f>
        <v>#REF!</v>
      </c>
      <c r="S322" s="267" t="e">
        <f>IFERROR(VLOOKUP(L322,ПП_Расчет!C$10:F$19,4,0),ПП_Расчет!F$10)</f>
        <v>#REF!</v>
      </c>
      <c r="T322" s="267"/>
      <c r="U322" s="267"/>
      <c r="V322" s="267"/>
      <c r="W322" s="104">
        <v>450</v>
      </c>
      <c r="X322" s="104">
        <v>2025</v>
      </c>
      <c r="Y322" s="104">
        <v>25</v>
      </c>
      <c r="Z322" s="104">
        <v>158</v>
      </c>
      <c r="AA322" s="77">
        <f t="shared" si="71"/>
        <v>1.4266117969821673E-5</v>
      </c>
      <c r="AB322" s="62">
        <f t="shared" si="72"/>
        <v>4.9135802469135799E-2</v>
      </c>
      <c r="AH322" s="40"/>
      <c r="AJ322" s="41"/>
      <c r="AK322" s="41"/>
      <c r="AL322" s="41"/>
      <c r="AP322" s="40"/>
      <c r="AQ322" s="40"/>
      <c r="AR322" s="41"/>
      <c r="AS322" s="41"/>
    </row>
    <row r="323" spans="1:45">
      <c r="A323" s="538" t="s">
        <v>984</v>
      </c>
      <c r="B323" s="77">
        <f>MATCH(A323,Нагреватели!B$7:B$2018,0)</f>
        <v>52</v>
      </c>
      <c r="C323" s="78" t="e">
        <f ca="1">OFFSET(Нагреватели!#REF!,B323-1,0)</f>
        <v>#REF!</v>
      </c>
      <c r="D323" s="78" t="e">
        <f t="shared" ca="1" si="58"/>
        <v>#REF!</v>
      </c>
      <c r="E323" s="489" t="e">
        <f ca="1">OFFSET(Нагреватели!#REF!,B323-1,0)</f>
        <v>#REF!</v>
      </c>
      <c r="F323" s="500" t="s">
        <v>591</v>
      </c>
      <c r="G323" s="101" t="e">
        <f t="shared" si="67"/>
        <v>#REF!</v>
      </c>
      <c r="H323" s="102" t="e">
        <f t="shared" si="68"/>
        <v>#REF!</v>
      </c>
      <c r="I323" s="520" t="str">
        <f t="shared" si="69"/>
        <v>500x250=ЛОЖЬ</v>
      </c>
      <c r="J323" s="103">
        <v>500</v>
      </c>
      <c r="K323" s="104">
        <v>250</v>
      </c>
      <c r="L323" s="77" t="str">
        <f t="shared" si="62"/>
        <v>500x250</v>
      </c>
      <c r="M323" s="105">
        <f t="shared" si="70"/>
        <v>0.125</v>
      </c>
      <c r="N323" s="106">
        <v>150</v>
      </c>
      <c r="O323" s="107">
        <v>7</v>
      </c>
      <c r="P323" s="107" t="s">
        <v>241</v>
      </c>
      <c r="Q323" s="267" t="e">
        <f>ПП_Нагреватель!B50</f>
        <v>#REF!</v>
      </c>
      <c r="R323" s="267" t="e">
        <f>IFERROR(VLOOKUP(L323,ПП_Расчет!C$10:F$19,3,0),ПП_Расчет!E$10)</f>
        <v>#REF!</v>
      </c>
      <c r="S323" s="267" t="e">
        <f>IFERROR(VLOOKUP(L323,ПП_Расчет!C$10:F$19,4,0),ПП_Расчет!F$10)</f>
        <v>#REF!</v>
      </c>
      <c r="T323" s="267" t="e">
        <f>ПП_Нагреватель!B53</f>
        <v>#REF!</v>
      </c>
      <c r="U323" s="267" t="e">
        <f>ПП_Нагреватель!B54</f>
        <v>#REF!</v>
      </c>
      <c r="V323" s="267"/>
      <c r="W323" s="104">
        <v>450</v>
      </c>
      <c r="X323" s="104">
        <v>2475</v>
      </c>
      <c r="Y323" s="104">
        <v>15</v>
      </c>
      <c r="Z323" s="104">
        <v>135</v>
      </c>
      <c r="AA323" s="77">
        <f t="shared" si="71"/>
        <v>1.0475121586232697E-5</v>
      </c>
      <c r="AB323" s="62">
        <f t="shared" si="72"/>
        <v>2.8619528619528621E-2</v>
      </c>
      <c r="AH323" s="40"/>
      <c r="AJ323" s="41"/>
      <c r="AK323" s="41"/>
      <c r="AL323" s="41"/>
      <c r="AP323" s="40"/>
      <c r="AQ323" s="40"/>
      <c r="AR323" s="41"/>
      <c r="AS323" s="41"/>
    </row>
    <row r="324" spans="1:45">
      <c r="A324" s="538" t="s">
        <v>985</v>
      </c>
      <c r="B324" s="77">
        <f>MATCH(A324,Нагреватели!B$7:B$2018,0)</f>
        <v>60</v>
      </c>
      <c r="C324" s="78" t="e">
        <f ca="1">OFFSET(Нагреватели!#REF!,B324-1,0)</f>
        <v>#REF!</v>
      </c>
      <c r="D324" s="78" t="e">
        <f t="shared" ca="1" si="58"/>
        <v>#REF!</v>
      </c>
      <c r="E324" s="489" t="e">
        <f ca="1">OFFSET(Нагреватели!#REF!,B324-1,0)</f>
        <v>#REF!</v>
      </c>
      <c r="F324" s="500" t="s">
        <v>591</v>
      </c>
      <c r="G324" s="101" t="e">
        <f t="shared" si="67"/>
        <v>#REF!</v>
      </c>
      <c r="H324" s="102" t="e">
        <f t="shared" si="68"/>
        <v>#REF!</v>
      </c>
      <c r="I324" s="520" t="str">
        <f t="shared" si="69"/>
        <v>500x250=ЛОЖЬ</v>
      </c>
      <c r="J324" s="103">
        <v>500</v>
      </c>
      <c r="K324" s="104">
        <v>250</v>
      </c>
      <c r="L324" s="77" t="str">
        <f t="shared" si="62"/>
        <v>500x250</v>
      </c>
      <c r="M324" s="105">
        <f t="shared" si="70"/>
        <v>0.125</v>
      </c>
      <c r="N324" s="106">
        <v>150</v>
      </c>
      <c r="O324" s="107">
        <v>9</v>
      </c>
      <c r="P324" s="107" t="s">
        <v>241</v>
      </c>
      <c r="Q324" s="267" t="e">
        <f>ПП_Нагреватель!B69</f>
        <v>#REF!</v>
      </c>
      <c r="R324" s="267" t="e">
        <f>IFERROR(VLOOKUP(L324,ПП_Расчет!C$10:F$19,3,0),ПП_Расчет!E$10)</f>
        <v>#REF!</v>
      </c>
      <c r="S324" s="267" t="e">
        <f>IFERROR(VLOOKUP(L324,ПП_Расчет!C$10:F$19,4,0),ПП_Расчет!F$10)</f>
        <v>#REF!</v>
      </c>
      <c r="T324" s="267" t="e">
        <f>ПП_Нагреватель!B72</f>
        <v>#REF!</v>
      </c>
      <c r="U324" s="267" t="e">
        <f>ПП_Нагреватель!B73</f>
        <v>#REF!</v>
      </c>
      <c r="V324" s="267"/>
      <c r="W324" s="104">
        <v>450</v>
      </c>
      <c r="X324" s="104">
        <v>2250</v>
      </c>
      <c r="Y324" s="104">
        <v>25</v>
      </c>
      <c r="Z324" s="104">
        <v>180</v>
      </c>
      <c r="AA324" s="77">
        <f t="shared" si="71"/>
        <v>1.358024691358025E-5</v>
      </c>
      <c r="AB324" s="62">
        <f t="shared" si="72"/>
        <v>4.9444444444444444E-2</v>
      </c>
      <c r="AH324" s="40"/>
      <c r="AJ324" s="41"/>
      <c r="AK324" s="41"/>
      <c r="AL324" s="41"/>
      <c r="AP324" s="40"/>
      <c r="AQ324" s="40"/>
      <c r="AR324" s="41"/>
      <c r="AS324" s="41"/>
    </row>
    <row r="325" spans="1:45">
      <c r="A325" s="537" t="s">
        <v>986</v>
      </c>
      <c r="B325" s="81">
        <f>MATCH(A325,Нагреватели!B$7:B$2018,0)</f>
        <v>87</v>
      </c>
      <c r="C325" s="82" t="e">
        <f ca="1">OFFSET(Нагреватели!#REF!,B325-1,0)</f>
        <v>#REF!</v>
      </c>
      <c r="D325" s="82" t="e">
        <f t="shared" ca="1" si="58"/>
        <v>#REF!</v>
      </c>
      <c r="E325" s="488" t="e">
        <f ca="1">OFFSET(Нагреватели!#REF!,B325-1,0)</f>
        <v>#REF!</v>
      </c>
      <c r="F325" s="145" t="s">
        <v>591</v>
      </c>
      <c r="G325" s="83" t="e">
        <f t="shared" si="67"/>
        <v>#REF!</v>
      </c>
      <c r="H325" s="84" t="e">
        <f t="shared" si="68"/>
        <v>#REF!</v>
      </c>
      <c r="I325" s="518" t="str">
        <f t="shared" si="69"/>
        <v>500x300=ЛОЖЬ</v>
      </c>
      <c r="J325" s="86">
        <v>500</v>
      </c>
      <c r="K325" s="86">
        <v>300</v>
      </c>
      <c r="L325" s="81" t="str">
        <f t="shared" si="62"/>
        <v>500x300</v>
      </c>
      <c r="M325" s="87">
        <f t="shared" si="70"/>
        <v>0.15</v>
      </c>
      <c r="N325" s="88">
        <v>650</v>
      </c>
      <c r="O325" s="89">
        <v>18</v>
      </c>
      <c r="P325" s="89" t="s">
        <v>240</v>
      </c>
      <c r="Q325" s="266">
        <v>12</v>
      </c>
      <c r="R325" s="266" t="e">
        <f>IFERROR(VLOOKUP(L325,ПП_Расчет!C$10:F$19,3,0),ПП_Расчет!E$10)</f>
        <v>#REF!</v>
      </c>
      <c r="S325" s="266" t="e">
        <f>IFERROR(VLOOKUP(L325,ПП_Расчет!C$10:F$19,4,0),ПП_Расчет!F$10)</f>
        <v>#REF!</v>
      </c>
      <c r="T325" s="266"/>
      <c r="U325" s="266"/>
      <c r="V325" s="266"/>
      <c r="W325" s="86">
        <v>540</v>
      </c>
      <c r="X325" s="86">
        <v>2970</v>
      </c>
      <c r="Y325" s="86">
        <v>6</v>
      </c>
      <c r="Z325" s="86">
        <v>78</v>
      </c>
      <c r="AA325" s="81">
        <f t="shared" si="71"/>
        <v>6.2351914203766051E-6</v>
      </c>
      <c r="AB325" s="52">
        <f t="shared" si="72"/>
        <v>7.7441077441077442E-3</v>
      </c>
      <c r="AH325" s="40"/>
      <c r="AJ325" s="41"/>
      <c r="AK325" s="41"/>
      <c r="AL325" s="41"/>
      <c r="AP325" s="40"/>
      <c r="AQ325" s="40"/>
      <c r="AR325" s="41"/>
      <c r="AS325" s="41"/>
    </row>
    <row r="326" spans="1:45">
      <c r="A326" s="538" t="s">
        <v>987</v>
      </c>
      <c r="B326" s="77">
        <f>MATCH(A326,Нагреватели!B$7:B$2018,0)</f>
        <v>88</v>
      </c>
      <c r="C326" s="78" t="e">
        <f ca="1">OFFSET(Нагреватели!#REF!,B326-1,0)</f>
        <v>#REF!</v>
      </c>
      <c r="D326" s="78" t="e">
        <f t="shared" ca="1" si="58"/>
        <v>#REF!</v>
      </c>
      <c r="E326" s="489" t="e">
        <f ca="1">OFFSET(Нагреватели!#REF!,B326-1,0)</f>
        <v>#REF!</v>
      </c>
      <c r="F326" s="500" t="s">
        <v>591</v>
      </c>
      <c r="G326" s="101" t="e">
        <f t="shared" si="67"/>
        <v>#REF!</v>
      </c>
      <c r="H326" s="102" t="e">
        <f t="shared" si="68"/>
        <v>#REF!</v>
      </c>
      <c r="I326" s="520" t="str">
        <f t="shared" si="69"/>
        <v>500x300=ЛОЖЬ</v>
      </c>
      <c r="J326" s="103">
        <v>500</v>
      </c>
      <c r="K326" s="104">
        <v>300</v>
      </c>
      <c r="L326" s="77" t="str">
        <f t="shared" si="62"/>
        <v>500x300</v>
      </c>
      <c r="M326" s="105">
        <f t="shared" si="70"/>
        <v>0.15</v>
      </c>
      <c r="N326" s="106">
        <v>650</v>
      </c>
      <c r="O326" s="107">
        <v>22</v>
      </c>
      <c r="P326" s="107" t="s">
        <v>240</v>
      </c>
      <c r="Q326" s="267">
        <v>24</v>
      </c>
      <c r="R326" s="267" t="e">
        <f>IFERROR(VLOOKUP(L326,ПП_Расчет!C$10:F$19,3,0),ПП_Расчет!E$10)</f>
        <v>#REF!</v>
      </c>
      <c r="S326" s="267" t="e">
        <f>IFERROR(VLOOKUP(L326,ПП_Расчет!C$10:F$19,4,0),ПП_Расчет!F$10)</f>
        <v>#REF!</v>
      </c>
      <c r="T326" s="267"/>
      <c r="U326" s="267"/>
      <c r="V326" s="267"/>
      <c r="W326" s="104">
        <v>540</v>
      </c>
      <c r="X326" s="104">
        <v>2700</v>
      </c>
      <c r="Y326" s="104">
        <v>10</v>
      </c>
      <c r="Z326" s="104">
        <v>100</v>
      </c>
      <c r="AA326" s="77">
        <f t="shared" si="71"/>
        <v>8.5733882030178313E-6</v>
      </c>
      <c r="AB326" s="62">
        <f t="shared" si="72"/>
        <v>1.3888888888888888E-2</v>
      </c>
      <c r="AH326" s="40"/>
      <c r="AJ326" s="41"/>
      <c r="AK326" s="41"/>
      <c r="AL326" s="41"/>
      <c r="AP326" s="40"/>
      <c r="AQ326" s="40"/>
      <c r="AR326" s="41"/>
      <c r="AS326" s="41"/>
    </row>
    <row r="327" spans="1:45">
      <c r="A327" s="538" t="s">
        <v>988</v>
      </c>
      <c r="B327" s="77">
        <f>MATCH(A327,Нагреватели!B$7:B$2018,0)</f>
        <v>89</v>
      </c>
      <c r="C327" s="78" t="e">
        <f ca="1">OFFSET(Нагреватели!#REF!,B327-1,0)</f>
        <v>#REF!</v>
      </c>
      <c r="D327" s="78" t="e">
        <f t="shared" ca="1" si="58"/>
        <v>#REF!</v>
      </c>
      <c r="E327" s="489" t="e">
        <f ca="1">OFFSET(Нагреватели!#REF!,B327-1,0)</f>
        <v>#REF!</v>
      </c>
      <c r="F327" s="500" t="s">
        <v>591</v>
      </c>
      <c r="G327" s="101" t="e">
        <f t="shared" si="67"/>
        <v>#REF!</v>
      </c>
      <c r="H327" s="102" t="e">
        <f t="shared" si="68"/>
        <v>#REF!</v>
      </c>
      <c r="I327" s="520" t="str">
        <f t="shared" si="69"/>
        <v>500x300=ЛОЖЬ</v>
      </c>
      <c r="J327" s="103">
        <v>500</v>
      </c>
      <c r="K327" s="104">
        <v>300</v>
      </c>
      <c r="L327" s="77" t="str">
        <f t="shared" si="62"/>
        <v>500x300</v>
      </c>
      <c r="M327" s="105">
        <f t="shared" si="70"/>
        <v>0.15</v>
      </c>
      <c r="N327" s="106">
        <v>950</v>
      </c>
      <c r="O327" s="107">
        <v>33</v>
      </c>
      <c r="P327" s="107" t="s">
        <v>240</v>
      </c>
      <c r="Q327" s="267">
        <v>36</v>
      </c>
      <c r="R327" s="267" t="e">
        <f>IFERROR(VLOOKUP(L327,ПП_Расчет!C$10:F$19,3,0),ПП_Расчет!E$10)</f>
        <v>#REF!</v>
      </c>
      <c r="S327" s="267" t="e">
        <f>IFERROR(VLOOKUP(L327,ПП_Расчет!C$10:F$19,4,0),ПП_Расчет!F$10)</f>
        <v>#REF!</v>
      </c>
      <c r="T327" s="267"/>
      <c r="U327" s="267"/>
      <c r="V327" s="267"/>
      <c r="W327" s="104">
        <v>540</v>
      </c>
      <c r="X327" s="104">
        <v>2700</v>
      </c>
      <c r="Y327" s="104">
        <v>20</v>
      </c>
      <c r="Z327" s="104">
        <v>142</v>
      </c>
      <c r="AA327" s="77">
        <f t="shared" si="71"/>
        <v>7.2016460905349808E-6</v>
      </c>
      <c r="AB327" s="62">
        <f t="shared" si="72"/>
        <v>3.3148148148148149E-2</v>
      </c>
      <c r="AH327" s="40"/>
      <c r="AJ327" s="41"/>
      <c r="AK327" s="41"/>
      <c r="AL327" s="41"/>
      <c r="AP327" s="40"/>
      <c r="AQ327" s="40"/>
      <c r="AR327" s="41"/>
      <c r="AS327" s="41"/>
    </row>
    <row r="328" spans="1:45">
      <c r="A328" s="538" t="s">
        <v>989</v>
      </c>
      <c r="B328" s="77">
        <f>MATCH(A328,Нагреватели!B$7:B$2018,0)</f>
        <v>90</v>
      </c>
      <c r="C328" s="78" t="e">
        <f ca="1">OFFSET(Нагреватели!#REF!,B328-1,0)</f>
        <v>#REF!</v>
      </c>
      <c r="D328" s="78" t="e">
        <f t="shared" ca="1" si="58"/>
        <v>#REF!</v>
      </c>
      <c r="E328" s="489" t="e">
        <f ca="1">OFFSET(Нагреватели!#REF!,B328-1,0)</f>
        <v>#REF!</v>
      </c>
      <c r="F328" s="500" t="s">
        <v>591</v>
      </c>
      <c r="G328" s="101" t="e">
        <f t="shared" si="67"/>
        <v>#REF!</v>
      </c>
      <c r="H328" s="102" t="e">
        <f t="shared" si="68"/>
        <v>#REF!</v>
      </c>
      <c r="I328" s="520" t="str">
        <f t="shared" si="69"/>
        <v>500x300=ЛОЖЬ</v>
      </c>
      <c r="J328" s="103">
        <v>500</v>
      </c>
      <c r="K328" s="104">
        <v>300</v>
      </c>
      <c r="L328" s="77" t="str">
        <f t="shared" si="62"/>
        <v>500x300</v>
      </c>
      <c r="M328" s="105">
        <f t="shared" si="70"/>
        <v>0.15</v>
      </c>
      <c r="N328" s="106">
        <v>950</v>
      </c>
      <c r="O328" s="107">
        <v>37</v>
      </c>
      <c r="P328" s="107" t="s">
        <v>240</v>
      </c>
      <c r="Q328" s="267">
        <v>48</v>
      </c>
      <c r="R328" s="267" t="e">
        <f>IFERROR(VLOOKUP(L328,ПП_Расчет!C$10:F$19,3,0),ПП_Расчет!E$10)</f>
        <v>#REF!</v>
      </c>
      <c r="S328" s="267" t="e">
        <f>IFERROR(VLOOKUP(L328,ПП_Расчет!C$10:F$19,4,0),ПП_Расчет!F$10)</f>
        <v>#REF!</v>
      </c>
      <c r="T328" s="267"/>
      <c r="U328" s="267"/>
      <c r="V328" s="267"/>
      <c r="W328" s="104">
        <v>540</v>
      </c>
      <c r="X328" s="104">
        <v>2430</v>
      </c>
      <c r="Y328" s="104">
        <v>25</v>
      </c>
      <c r="Z328" s="104">
        <v>158</v>
      </c>
      <c r="AA328" s="77">
        <f t="shared" si="71"/>
        <v>9.9070263679317183E-6</v>
      </c>
      <c r="AB328" s="62">
        <f t="shared" si="72"/>
        <v>4.0946502057613167E-2</v>
      </c>
      <c r="AH328" s="40"/>
      <c r="AJ328" s="41"/>
      <c r="AK328" s="41"/>
      <c r="AL328" s="41"/>
      <c r="AP328" s="40"/>
      <c r="AQ328" s="40"/>
      <c r="AR328" s="41"/>
      <c r="AS328" s="41"/>
    </row>
    <row r="329" spans="1:45">
      <c r="A329" s="538" t="s">
        <v>990</v>
      </c>
      <c r="B329" s="77">
        <f>MATCH(A329,Нагреватели!B$7:B$2018,0)</f>
        <v>53</v>
      </c>
      <c r="C329" s="78" t="e">
        <f ca="1">OFFSET(Нагреватели!#REF!,B329-1,0)</f>
        <v>#REF!</v>
      </c>
      <c r="D329" s="78" t="e">
        <f t="shared" ca="1" si="58"/>
        <v>#REF!</v>
      </c>
      <c r="E329" s="489" t="e">
        <f ca="1">OFFSET(Нагреватели!#REF!,B329-1,0)</f>
        <v>#REF!</v>
      </c>
      <c r="F329" s="500" t="s">
        <v>591</v>
      </c>
      <c r="G329" s="101" t="e">
        <f t="shared" si="67"/>
        <v>#REF!</v>
      </c>
      <c r="H329" s="102" t="e">
        <f t="shared" si="68"/>
        <v>#REF!</v>
      </c>
      <c r="I329" s="520" t="str">
        <f t="shared" si="69"/>
        <v>500x300=ЛОЖЬ</v>
      </c>
      <c r="J329" s="103">
        <v>500</v>
      </c>
      <c r="K329" s="104">
        <v>300</v>
      </c>
      <c r="L329" s="77" t="str">
        <f t="shared" si="62"/>
        <v>500x300</v>
      </c>
      <c r="M329" s="105">
        <f t="shared" ref="M329:M335" si="73">IF(K329&gt;1,J329*K329,PI()*J329^2/4)/1000000</f>
        <v>0.15</v>
      </c>
      <c r="N329" s="106">
        <v>150</v>
      </c>
      <c r="O329" s="107">
        <v>7</v>
      </c>
      <c r="P329" s="107" t="s">
        <v>241</v>
      </c>
      <c r="Q329" s="267" t="e">
        <f>ПП_Нагреватель!B88</f>
        <v>#REF!</v>
      </c>
      <c r="R329" s="267" t="e">
        <f>IFERROR(VLOOKUP(L329,ПП_Расчет!C$10:F$19,3,0),ПП_Расчет!E$10)</f>
        <v>#REF!</v>
      </c>
      <c r="S329" s="267" t="e">
        <f>IFERROR(VLOOKUP(L329,ПП_Расчет!C$10:F$19,4,0),ПП_Расчет!F$10)</f>
        <v>#REF!</v>
      </c>
      <c r="T329" s="267" t="e">
        <f>ПП_Нагреватель!B91</f>
        <v>#REF!</v>
      </c>
      <c r="U329" s="267" t="e">
        <f>ПП_Нагреватель!B92</f>
        <v>#REF!</v>
      </c>
      <c r="V329" s="267"/>
      <c r="W329" s="104">
        <v>540</v>
      </c>
      <c r="X329" s="104">
        <v>2970</v>
      </c>
      <c r="Y329" s="104">
        <v>15</v>
      </c>
      <c r="Z329" s="104">
        <v>135</v>
      </c>
      <c r="AA329" s="77">
        <f t="shared" si="71"/>
        <v>7.2743899904393743E-6</v>
      </c>
      <c r="AB329" s="62">
        <f t="shared" si="72"/>
        <v>2.3849607182940515E-2</v>
      </c>
      <c r="AH329" s="40"/>
      <c r="AJ329" s="41"/>
      <c r="AK329" s="41"/>
      <c r="AL329" s="41"/>
      <c r="AP329" s="40"/>
      <c r="AQ329" s="40"/>
      <c r="AR329" s="41"/>
      <c r="AS329" s="41"/>
    </row>
    <row r="330" spans="1:45">
      <c r="A330" s="538" t="s">
        <v>991</v>
      </c>
      <c r="B330" s="77">
        <f>MATCH(A330,Нагреватели!B$7:B$2018,0)</f>
        <v>61</v>
      </c>
      <c r="C330" s="78" t="e">
        <f ca="1">OFFSET(Нагреватели!#REF!,B330-1,0)</f>
        <v>#REF!</v>
      </c>
      <c r="D330" s="78" t="e">
        <f t="shared" ca="1" si="58"/>
        <v>#REF!</v>
      </c>
      <c r="E330" s="489" t="e">
        <f ca="1">OFFSET(Нагреватели!#REF!,B330-1,0)</f>
        <v>#REF!</v>
      </c>
      <c r="F330" s="500" t="s">
        <v>591</v>
      </c>
      <c r="G330" s="101" t="e">
        <f t="shared" si="67"/>
        <v>#REF!</v>
      </c>
      <c r="H330" s="102" t="e">
        <f t="shared" si="68"/>
        <v>#REF!</v>
      </c>
      <c r="I330" s="520" t="str">
        <f t="shared" si="69"/>
        <v>500x300=ЛОЖЬ</v>
      </c>
      <c r="J330" s="103">
        <v>500</v>
      </c>
      <c r="K330" s="104">
        <v>300</v>
      </c>
      <c r="L330" s="77" t="str">
        <f t="shared" si="62"/>
        <v>500x300</v>
      </c>
      <c r="M330" s="105">
        <f t="shared" si="73"/>
        <v>0.15</v>
      </c>
      <c r="N330" s="106">
        <v>150</v>
      </c>
      <c r="O330" s="107">
        <v>10</v>
      </c>
      <c r="P330" s="107" t="s">
        <v>241</v>
      </c>
      <c r="Q330" s="267" t="e">
        <f>ПП_Нагреватель!B107</f>
        <v>#REF!</v>
      </c>
      <c r="R330" s="267" t="e">
        <f>IFERROR(VLOOKUP(L330,ПП_Расчет!C$10:F$19,3,0),ПП_Расчет!E$10)</f>
        <v>#REF!</v>
      </c>
      <c r="S330" s="267" t="e">
        <f>IFERROR(VLOOKUP(L330,ПП_Расчет!C$10:F$19,4,0),ПП_Расчет!F$10)</f>
        <v>#REF!</v>
      </c>
      <c r="T330" s="267" t="e">
        <f>ПП_Нагреватель!B110</f>
        <v>#REF!</v>
      </c>
      <c r="U330" s="267" t="e">
        <f>ПП_Нагреватель!B111</f>
        <v>#REF!</v>
      </c>
      <c r="V330" s="267"/>
      <c r="W330" s="104">
        <v>540</v>
      </c>
      <c r="X330" s="104">
        <v>2700</v>
      </c>
      <c r="Y330" s="104">
        <v>25</v>
      </c>
      <c r="Z330" s="104">
        <v>180</v>
      </c>
      <c r="AA330" s="77">
        <f t="shared" si="71"/>
        <v>9.4307270233196165E-6</v>
      </c>
      <c r="AB330" s="62">
        <f t="shared" si="72"/>
        <v>4.1203703703703701E-2</v>
      </c>
      <c r="AH330" s="40"/>
      <c r="AJ330" s="41"/>
      <c r="AK330" s="41"/>
      <c r="AL330" s="41"/>
      <c r="AP330" s="40"/>
      <c r="AQ330" s="40"/>
      <c r="AR330" s="41"/>
      <c r="AS330" s="41"/>
    </row>
    <row r="331" spans="1:45">
      <c r="A331" s="537" t="s">
        <v>992</v>
      </c>
      <c r="B331" s="81">
        <f>MATCH(A331,Нагреватели!B$7:B$2018,0)</f>
        <v>91</v>
      </c>
      <c r="C331" s="82" t="e">
        <f ca="1">OFFSET(Нагреватели!#REF!,B331-1,0)</f>
        <v>#REF!</v>
      </c>
      <c r="D331" s="82" t="e">
        <f t="shared" ca="1" si="58"/>
        <v>#REF!</v>
      </c>
      <c r="E331" s="488" t="e">
        <f ca="1">OFFSET(Нагреватели!#REF!,B331-1,0)</f>
        <v>#REF!</v>
      </c>
      <c r="F331" s="145" t="s">
        <v>591</v>
      </c>
      <c r="G331" s="83" t="e">
        <f t="shared" si="67"/>
        <v>#REF!</v>
      </c>
      <c r="H331" s="84" t="e">
        <f t="shared" si="68"/>
        <v>#REF!</v>
      </c>
      <c r="I331" s="518" t="str">
        <f t="shared" si="69"/>
        <v>600x300=ЛОЖЬ</v>
      </c>
      <c r="J331" s="86">
        <v>600</v>
      </c>
      <c r="K331" s="86">
        <v>300</v>
      </c>
      <c r="L331" s="81" t="str">
        <f t="shared" si="62"/>
        <v>600x300</v>
      </c>
      <c r="M331" s="87">
        <f t="shared" si="73"/>
        <v>0.18</v>
      </c>
      <c r="N331" s="88">
        <v>650</v>
      </c>
      <c r="O331" s="89">
        <v>19</v>
      </c>
      <c r="P331" s="89" t="s">
        <v>240</v>
      </c>
      <c r="Q331" s="266">
        <v>12</v>
      </c>
      <c r="R331" s="266" t="e">
        <f>IFERROR(VLOOKUP(L331,ПП_Расчет!C$10:F$19,3,0),ПП_Расчет!E$10)</f>
        <v>#REF!</v>
      </c>
      <c r="S331" s="266" t="e">
        <f>IFERROR(VLOOKUP(L331,ПП_Расчет!C$10:F$19,4,0),ПП_Расчет!F$10)</f>
        <v>#REF!</v>
      </c>
      <c r="T331" s="266"/>
      <c r="U331" s="266"/>
      <c r="V331" s="266"/>
      <c r="W331" s="86">
        <v>648</v>
      </c>
      <c r="X331" s="86">
        <v>3564</v>
      </c>
      <c r="Y331" s="86">
        <v>6</v>
      </c>
      <c r="Z331" s="86">
        <v>78</v>
      </c>
      <c r="AA331" s="81">
        <f t="shared" si="71"/>
        <v>4.329994041928199E-6</v>
      </c>
      <c r="AB331" s="52">
        <f t="shared" si="72"/>
        <v>6.453423120089786E-3</v>
      </c>
      <c r="AH331" s="40"/>
      <c r="AJ331" s="41"/>
      <c r="AK331" s="41"/>
      <c r="AL331" s="41"/>
      <c r="AP331" s="40"/>
      <c r="AQ331" s="40"/>
      <c r="AR331" s="41"/>
      <c r="AS331" s="41"/>
    </row>
    <row r="332" spans="1:45">
      <c r="A332" s="538" t="s">
        <v>993</v>
      </c>
      <c r="B332" s="77">
        <f>MATCH(A332,Нагреватели!B$7:B$2018,0)</f>
        <v>92</v>
      </c>
      <c r="C332" s="78" t="e">
        <f ca="1">OFFSET(Нагреватели!#REF!,B332-1,0)</f>
        <v>#REF!</v>
      </c>
      <c r="D332" s="78" t="e">
        <f t="shared" ca="1" si="58"/>
        <v>#REF!</v>
      </c>
      <c r="E332" s="489" t="e">
        <f ca="1">OFFSET(Нагреватели!#REF!,B332-1,0)</f>
        <v>#REF!</v>
      </c>
      <c r="F332" s="500" t="s">
        <v>591</v>
      </c>
      <c r="G332" s="101" t="e">
        <f t="shared" si="67"/>
        <v>#REF!</v>
      </c>
      <c r="H332" s="102" t="e">
        <f t="shared" si="68"/>
        <v>#REF!</v>
      </c>
      <c r="I332" s="520" t="str">
        <f t="shared" si="69"/>
        <v>600x300=ЛОЖЬ</v>
      </c>
      <c r="J332" s="103">
        <v>600</v>
      </c>
      <c r="K332" s="104">
        <v>300</v>
      </c>
      <c r="L332" s="77" t="str">
        <f t="shared" si="62"/>
        <v>600x300</v>
      </c>
      <c r="M332" s="105">
        <f t="shared" si="73"/>
        <v>0.18</v>
      </c>
      <c r="N332" s="106">
        <v>650</v>
      </c>
      <c r="O332" s="107">
        <v>23</v>
      </c>
      <c r="P332" s="107" t="s">
        <v>240</v>
      </c>
      <c r="Q332" s="267">
        <v>24</v>
      </c>
      <c r="R332" s="267" t="e">
        <f>IFERROR(VLOOKUP(L332,ПП_Расчет!C$10:F$19,3,0),ПП_Расчет!E$10)</f>
        <v>#REF!</v>
      </c>
      <c r="S332" s="267" t="e">
        <f>IFERROR(VLOOKUP(L332,ПП_Расчет!C$10:F$19,4,0),ПП_Расчет!F$10)</f>
        <v>#REF!</v>
      </c>
      <c r="T332" s="267"/>
      <c r="U332" s="267"/>
      <c r="V332" s="267"/>
      <c r="W332" s="104">
        <v>648</v>
      </c>
      <c r="X332" s="104">
        <v>3240</v>
      </c>
      <c r="Y332" s="104">
        <v>10</v>
      </c>
      <c r="Z332" s="104">
        <v>100</v>
      </c>
      <c r="AA332" s="77">
        <f t="shared" si="71"/>
        <v>5.9537418076512726E-6</v>
      </c>
      <c r="AB332" s="62">
        <f t="shared" si="72"/>
        <v>1.1574074074074073E-2</v>
      </c>
      <c r="AH332" s="40"/>
      <c r="AJ332" s="41"/>
      <c r="AK332" s="41"/>
      <c r="AL332" s="41"/>
      <c r="AP332" s="40"/>
      <c r="AQ332" s="40"/>
      <c r="AR332" s="41"/>
      <c r="AS332" s="41"/>
    </row>
    <row r="333" spans="1:45">
      <c r="A333" s="538" t="s">
        <v>994</v>
      </c>
      <c r="B333" s="77">
        <f>MATCH(A333,Нагреватели!B$7:B$2018,0)</f>
        <v>93</v>
      </c>
      <c r="C333" s="78" t="e">
        <f ca="1">OFFSET(Нагреватели!#REF!,B333-1,0)</f>
        <v>#REF!</v>
      </c>
      <c r="D333" s="78" t="e">
        <f t="shared" ca="1" si="58"/>
        <v>#REF!</v>
      </c>
      <c r="E333" s="489" t="e">
        <f ca="1">OFFSET(Нагреватели!#REF!,B333-1,0)</f>
        <v>#REF!</v>
      </c>
      <c r="F333" s="500" t="s">
        <v>591</v>
      </c>
      <c r="G333" s="101" t="e">
        <f t="shared" si="67"/>
        <v>#REF!</v>
      </c>
      <c r="H333" s="102" t="e">
        <f t="shared" si="68"/>
        <v>#REF!</v>
      </c>
      <c r="I333" s="520" t="str">
        <f t="shared" si="69"/>
        <v>600x300=ЛОЖЬ</v>
      </c>
      <c r="J333" s="103">
        <v>600</v>
      </c>
      <c r="K333" s="104">
        <v>300</v>
      </c>
      <c r="L333" s="77" t="str">
        <f t="shared" si="62"/>
        <v>600x300</v>
      </c>
      <c r="M333" s="105">
        <f t="shared" si="73"/>
        <v>0.18</v>
      </c>
      <c r="N333" s="106">
        <v>950</v>
      </c>
      <c r="O333" s="107">
        <v>35</v>
      </c>
      <c r="P333" s="107" t="s">
        <v>240</v>
      </c>
      <c r="Q333" s="267">
        <v>36</v>
      </c>
      <c r="R333" s="267" t="e">
        <f>IFERROR(VLOOKUP(L333,ПП_Расчет!C$10:F$19,3,0),ПП_Расчет!E$10)</f>
        <v>#REF!</v>
      </c>
      <c r="S333" s="267" t="e">
        <f>IFERROR(VLOOKUP(L333,ПП_Расчет!C$10:F$19,4,0),ПП_Расчет!F$10)</f>
        <v>#REF!</v>
      </c>
      <c r="T333" s="267"/>
      <c r="U333" s="267"/>
      <c r="V333" s="267"/>
      <c r="W333" s="104">
        <v>648</v>
      </c>
      <c r="X333" s="104">
        <v>3240</v>
      </c>
      <c r="Y333" s="104">
        <v>20</v>
      </c>
      <c r="Z333" s="104">
        <v>142</v>
      </c>
      <c r="AA333" s="77">
        <f t="shared" si="71"/>
        <v>5.0011431184270708E-6</v>
      </c>
      <c r="AB333" s="62">
        <f t="shared" si="72"/>
        <v>2.7623456790123454E-2</v>
      </c>
      <c r="AH333" s="40"/>
      <c r="AJ333" s="41"/>
      <c r="AK333" s="41"/>
      <c r="AL333" s="41"/>
      <c r="AP333" s="40"/>
      <c r="AQ333" s="40"/>
      <c r="AR333" s="41"/>
      <c r="AS333" s="41"/>
    </row>
    <row r="334" spans="1:45">
      <c r="A334" s="538" t="s">
        <v>995</v>
      </c>
      <c r="B334" s="77">
        <f>MATCH(A334,Нагреватели!B$7:B$2018,0)</f>
        <v>94</v>
      </c>
      <c r="C334" s="78" t="e">
        <f ca="1">OFFSET(Нагреватели!#REF!,B334-1,0)</f>
        <v>#REF!</v>
      </c>
      <c r="D334" s="78" t="e">
        <f t="shared" ca="1" si="58"/>
        <v>#REF!</v>
      </c>
      <c r="E334" s="489" t="e">
        <f ca="1">OFFSET(Нагреватели!#REF!,B334-1,0)</f>
        <v>#REF!</v>
      </c>
      <c r="F334" s="500" t="s">
        <v>591</v>
      </c>
      <c r="G334" s="101" t="e">
        <f t="shared" si="67"/>
        <v>#REF!</v>
      </c>
      <c r="H334" s="102" t="e">
        <f t="shared" si="68"/>
        <v>#REF!</v>
      </c>
      <c r="I334" s="520" t="str">
        <f t="shared" si="69"/>
        <v>600x300=ЛОЖЬ</v>
      </c>
      <c r="J334" s="103">
        <v>600</v>
      </c>
      <c r="K334" s="104">
        <v>300</v>
      </c>
      <c r="L334" s="77" t="str">
        <f t="shared" si="62"/>
        <v>600x300</v>
      </c>
      <c r="M334" s="105">
        <f>IF(K334&gt;1,J334*K334,PI()*J334^2/4)/1000000</f>
        <v>0.18</v>
      </c>
      <c r="N334" s="106">
        <v>950</v>
      </c>
      <c r="O334" s="107">
        <v>38</v>
      </c>
      <c r="P334" s="107" t="s">
        <v>240</v>
      </c>
      <c r="Q334" s="267">
        <v>48</v>
      </c>
      <c r="R334" s="267" t="e">
        <f>IFERROR(VLOOKUP(L334,ПП_Расчет!C$10:F$19,3,0),ПП_Расчет!E$10)</f>
        <v>#REF!</v>
      </c>
      <c r="S334" s="267" t="e">
        <f>IFERROR(VLOOKUP(L334,ПП_Расчет!C$10:F$19,4,0),ПП_Расчет!F$10)</f>
        <v>#REF!</v>
      </c>
      <c r="T334" s="267"/>
      <c r="U334" s="267"/>
      <c r="V334" s="267"/>
      <c r="W334" s="104">
        <v>648</v>
      </c>
      <c r="X334" s="104">
        <v>2916</v>
      </c>
      <c r="Y334" s="104">
        <v>25</v>
      </c>
      <c r="Z334" s="104">
        <v>158</v>
      </c>
      <c r="AA334" s="77">
        <f t="shared" si="71"/>
        <v>6.879879422174804E-6</v>
      </c>
      <c r="AB334" s="62">
        <f t="shared" si="72"/>
        <v>3.4122085048010974E-2</v>
      </c>
      <c r="AH334" s="40"/>
      <c r="AJ334" s="41"/>
      <c r="AK334" s="41"/>
      <c r="AL334" s="41"/>
      <c r="AP334" s="40"/>
      <c r="AQ334" s="40"/>
      <c r="AR334" s="41"/>
      <c r="AS334" s="41"/>
    </row>
    <row r="335" spans="1:45">
      <c r="A335" s="538" t="s">
        <v>996</v>
      </c>
      <c r="B335" s="77">
        <f>MATCH(A335,Нагреватели!B$7:B$2018,0)</f>
        <v>54</v>
      </c>
      <c r="C335" s="78" t="e">
        <f ca="1">OFFSET(Нагреватели!#REF!,B335-1,0)</f>
        <v>#REF!</v>
      </c>
      <c r="D335" s="78" t="e">
        <f t="shared" ca="1" si="58"/>
        <v>#REF!</v>
      </c>
      <c r="E335" s="489" t="e">
        <f ca="1">OFFSET(Нагреватели!#REF!,B335-1,0)</f>
        <v>#REF!</v>
      </c>
      <c r="F335" s="500" t="s">
        <v>591</v>
      </c>
      <c r="G335" s="101" t="e">
        <f t="shared" si="67"/>
        <v>#REF!</v>
      </c>
      <c r="H335" s="102" t="e">
        <f t="shared" si="68"/>
        <v>#REF!</v>
      </c>
      <c r="I335" s="520" t="str">
        <f t="shared" si="69"/>
        <v>600x300=ЛОЖЬ</v>
      </c>
      <c r="J335" s="103">
        <v>600</v>
      </c>
      <c r="K335" s="104">
        <v>300</v>
      </c>
      <c r="L335" s="77" t="str">
        <f t="shared" si="62"/>
        <v>600x300</v>
      </c>
      <c r="M335" s="105">
        <f t="shared" si="73"/>
        <v>0.18</v>
      </c>
      <c r="N335" s="106">
        <v>150</v>
      </c>
      <c r="O335" s="107">
        <v>8</v>
      </c>
      <c r="P335" s="107" t="s">
        <v>241</v>
      </c>
      <c r="Q335" s="267" t="e">
        <f>ПП_Нагреватель!B126</f>
        <v>#REF!</v>
      </c>
      <c r="R335" s="267" t="e">
        <f>IFERROR(VLOOKUP(L335,ПП_Расчет!C$10:F$19,3,0),ПП_Расчет!E$10)</f>
        <v>#REF!</v>
      </c>
      <c r="S335" s="267" t="e">
        <f>IFERROR(VLOOKUP(L335,ПП_Расчет!C$10:F$19,4,0),ПП_Расчет!F$10)</f>
        <v>#REF!</v>
      </c>
      <c r="T335" s="267" t="e">
        <f>ПП_Нагреватель!B129</f>
        <v>#REF!</v>
      </c>
      <c r="U335" s="267" t="e">
        <f>ПП_Нагреватель!B130</f>
        <v>#REF!</v>
      </c>
      <c r="V335" s="267"/>
      <c r="W335" s="104">
        <v>648</v>
      </c>
      <c r="X335" s="104">
        <v>3564</v>
      </c>
      <c r="Y335" s="104">
        <v>15</v>
      </c>
      <c r="Z335" s="104">
        <v>135</v>
      </c>
      <c r="AA335" s="77">
        <f t="shared" si="71"/>
        <v>5.0516597155828992E-6</v>
      </c>
      <c r="AB335" s="62">
        <f t="shared" si="72"/>
        <v>1.987467265245043E-2</v>
      </c>
      <c r="AH335" s="40"/>
      <c r="AJ335" s="41"/>
      <c r="AK335" s="41"/>
      <c r="AL335" s="41"/>
      <c r="AP335" s="40"/>
      <c r="AQ335" s="40"/>
      <c r="AR335" s="41"/>
      <c r="AS335" s="41"/>
    </row>
    <row r="336" spans="1:45">
      <c r="A336" s="538" t="s">
        <v>997</v>
      </c>
      <c r="B336" s="77">
        <f>MATCH(A336,Нагреватели!B$7:B$2018,0)</f>
        <v>62</v>
      </c>
      <c r="C336" s="78" t="e">
        <f ca="1">OFFSET(Нагреватели!#REF!,B336-1,0)</f>
        <v>#REF!</v>
      </c>
      <c r="D336" s="78" t="e">
        <f t="shared" ca="1" si="58"/>
        <v>#REF!</v>
      </c>
      <c r="E336" s="489" t="e">
        <f ca="1">OFFSET(Нагреватели!#REF!,B336-1,0)</f>
        <v>#REF!</v>
      </c>
      <c r="F336" s="500" t="s">
        <v>591</v>
      </c>
      <c r="G336" s="101" t="e">
        <f t="shared" si="67"/>
        <v>#REF!</v>
      </c>
      <c r="H336" s="102" t="e">
        <f t="shared" si="68"/>
        <v>#REF!</v>
      </c>
      <c r="I336" s="520" t="str">
        <f t="shared" si="69"/>
        <v>600x300=ЛОЖЬ</v>
      </c>
      <c r="J336" s="103">
        <v>600</v>
      </c>
      <c r="K336" s="104">
        <v>300</v>
      </c>
      <c r="L336" s="77" t="str">
        <f t="shared" si="62"/>
        <v>600x300</v>
      </c>
      <c r="M336" s="105">
        <f t="shared" ref="M336:M342" si="74">IF(K336&gt;1,J336*K336,PI()*J336^2/4)/1000000</f>
        <v>0.18</v>
      </c>
      <c r="N336" s="106">
        <v>150</v>
      </c>
      <c r="O336" s="107">
        <v>12</v>
      </c>
      <c r="P336" s="107" t="s">
        <v>241</v>
      </c>
      <c r="Q336" s="267" t="e">
        <f>ПП_Нагреватель!B145</f>
        <v>#REF!</v>
      </c>
      <c r="R336" s="267" t="e">
        <f>IFERROR(VLOOKUP(L336,ПП_Расчет!C$10:F$19,3,0),ПП_Расчет!E$10)</f>
        <v>#REF!</v>
      </c>
      <c r="S336" s="267" t="e">
        <f>IFERROR(VLOOKUP(L336,ПП_Расчет!C$10:F$19,4,0),ПП_Расчет!F$10)</f>
        <v>#REF!</v>
      </c>
      <c r="T336" s="267" t="e">
        <f>ПП_Нагреватель!B148</f>
        <v>#REF!</v>
      </c>
      <c r="U336" s="267" t="e">
        <f>ПП_Нагреватель!B149</f>
        <v>#REF!</v>
      </c>
      <c r="V336" s="267"/>
      <c r="W336" s="104">
        <v>648</v>
      </c>
      <c r="X336" s="104">
        <v>3240</v>
      </c>
      <c r="Y336" s="104">
        <v>25</v>
      </c>
      <c r="Z336" s="104">
        <v>180</v>
      </c>
      <c r="AA336" s="77">
        <f t="shared" si="71"/>
        <v>6.5491159884163994E-6</v>
      </c>
      <c r="AB336" s="62">
        <f t="shared" si="72"/>
        <v>3.433641975308642E-2</v>
      </c>
      <c r="AH336" s="40"/>
      <c r="AJ336" s="41"/>
      <c r="AK336" s="41"/>
      <c r="AL336" s="41"/>
      <c r="AP336" s="40"/>
      <c r="AQ336" s="40"/>
      <c r="AR336" s="41"/>
      <c r="AS336" s="41"/>
    </row>
    <row r="337" spans="1:45">
      <c r="A337" s="537" t="s">
        <v>998</v>
      </c>
      <c r="B337" s="81">
        <f>MATCH(A337,Нагреватели!B$7:B$2018,0)</f>
        <v>95</v>
      </c>
      <c r="C337" s="82" t="e">
        <f ca="1">OFFSET(Нагреватели!#REF!,B337-1,0)</f>
        <v>#REF!</v>
      </c>
      <c r="D337" s="82" t="e">
        <f t="shared" ca="1" si="58"/>
        <v>#REF!</v>
      </c>
      <c r="E337" s="488" t="e">
        <f ca="1">OFFSET(Нагреватели!#REF!,B337-1,0)</f>
        <v>#REF!</v>
      </c>
      <c r="F337" s="145" t="s">
        <v>591</v>
      </c>
      <c r="G337" s="83" t="e">
        <f t="shared" si="67"/>
        <v>#REF!</v>
      </c>
      <c r="H337" s="84" t="e">
        <f t="shared" si="68"/>
        <v>#REF!</v>
      </c>
      <c r="I337" s="518" t="str">
        <f t="shared" si="69"/>
        <v>600x350=ЛОЖЬ</v>
      </c>
      <c r="J337" s="86">
        <v>600</v>
      </c>
      <c r="K337" s="86">
        <v>350</v>
      </c>
      <c r="L337" s="81" t="str">
        <f t="shared" si="62"/>
        <v>600x350</v>
      </c>
      <c r="M337" s="87">
        <f t="shared" si="74"/>
        <v>0.21</v>
      </c>
      <c r="N337" s="88">
        <v>650</v>
      </c>
      <c r="O337" s="89">
        <v>19</v>
      </c>
      <c r="P337" s="89" t="s">
        <v>240</v>
      </c>
      <c r="Q337" s="266">
        <v>12</v>
      </c>
      <c r="R337" s="266" t="e">
        <f>IFERROR(VLOOKUP(L337,ПП_Расчет!C$10:F$19,3,0),ПП_Расчет!E$10)</f>
        <v>#REF!</v>
      </c>
      <c r="S337" s="266" t="e">
        <f>IFERROR(VLOOKUP(L337,ПП_Расчет!C$10:F$19,4,0),ПП_Расчет!F$10)</f>
        <v>#REF!</v>
      </c>
      <c r="T337" s="266"/>
      <c r="U337" s="266"/>
      <c r="V337" s="266"/>
      <c r="W337" s="86">
        <v>756</v>
      </c>
      <c r="X337" s="86">
        <v>4158</v>
      </c>
      <c r="Y337" s="86">
        <v>6</v>
      </c>
      <c r="Z337" s="86">
        <v>78</v>
      </c>
      <c r="AA337" s="81">
        <f t="shared" si="71"/>
        <v>3.1812201124370438E-6</v>
      </c>
      <c r="AB337" s="52">
        <f t="shared" si="72"/>
        <v>5.5315055315055314E-3</v>
      </c>
      <c r="AH337" s="40"/>
      <c r="AJ337" s="41"/>
      <c r="AK337" s="41"/>
      <c r="AL337" s="41"/>
      <c r="AP337" s="40"/>
      <c r="AQ337" s="40"/>
      <c r="AR337" s="41"/>
      <c r="AS337" s="41"/>
    </row>
    <row r="338" spans="1:45">
      <c r="A338" s="538" t="s">
        <v>999</v>
      </c>
      <c r="B338" s="77">
        <f>MATCH(A338,Нагреватели!B$7:B$2018,0)</f>
        <v>96</v>
      </c>
      <c r="C338" s="78" t="e">
        <f ca="1">OFFSET(Нагреватели!#REF!,B338-1,0)</f>
        <v>#REF!</v>
      </c>
      <c r="D338" s="78" t="e">
        <f t="shared" ca="1" si="58"/>
        <v>#REF!</v>
      </c>
      <c r="E338" s="489" t="e">
        <f ca="1">OFFSET(Нагреватели!#REF!,B338-1,0)</f>
        <v>#REF!</v>
      </c>
      <c r="F338" s="500" t="s">
        <v>591</v>
      </c>
      <c r="G338" s="101" t="e">
        <f t="shared" si="67"/>
        <v>#REF!</v>
      </c>
      <c r="H338" s="102" t="e">
        <f t="shared" si="68"/>
        <v>#REF!</v>
      </c>
      <c r="I338" s="520" t="str">
        <f t="shared" si="69"/>
        <v>600x350=ЛОЖЬ</v>
      </c>
      <c r="J338" s="103">
        <v>600</v>
      </c>
      <c r="K338" s="104">
        <v>350</v>
      </c>
      <c r="L338" s="77" t="str">
        <f t="shared" si="62"/>
        <v>600x350</v>
      </c>
      <c r="M338" s="105">
        <f>IF(K338&gt;1,J338*K338,PI()*J338^2/4)/1000000</f>
        <v>0.21</v>
      </c>
      <c r="N338" s="106">
        <v>650</v>
      </c>
      <c r="O338" s="107">
        <v>23</v>
      </c>
      <c r="P338" s="107" t="s">
        <v>240</v>
      </c>
      <c r="Q338" s="267">
        <v>24</v>
      </c>
      <c r="R338" s="267" t="e">
        <f>IFERROR(VLOOKUP(L338,ПП_Расчет!C$10:F$19,3,0),ПП_Расчет!E$10)</f>
        <v>#REF!</v>
      </c>
      <c r="S338" s="267" t="e">
        <f>IFERROR(VLOOKUP(L338,ПП_Расчет!C$10:F$19,4,0),ПП_Расчет!F$10)</f>
        <v>#REF!</v>
      </c>
      <c r="T338" s="267"/>
      <c r="U338" s="267"/>
      <c r="V338" s="267"/>
      <c r="W338" s="104">
        <v>756</v>
      </c>
      <c r="X338" s="104">
        <v>3780</v>
      </c>
      <c r="Y338" s="104">
        <v>10</v>
      </c>
      <c r="Z338" s="104">
        <v>100</v>
      </c>
      <c r="AA338" s="77">
        <f t="shared" si="71"/>
        <v>4.3741776546009352E-6</v>
      </c>
      <c r="AB338" s="62">
        <f t="shared" si="72"/>
        <v>9.9206349206349201E-3</v>
      </c>
      <c r="AH338" s="40"/>
      <c r="AJ338" s="41"/>
      <c r="AK338" s="41"/>
      <c r="AL338" s="41"/>
      <c r="AP338" s="40"/>
      <c r="AQ338" s="40"/>
      <c r="AR338" s="41"/>
      <c r="AS338" s="41"/>
    </row>
    <row r="339" spans="1:45">
      <c r="A339" s="538" t="s">
        <v>1000</v>
      </c>
      <c r="B339" s="77">
        <f>MATCH(A339,Нагреватели!B$7:B$2018,0)</f>
        <v>97</v>
      </c>
      <c r="C339" s="78" t="e">
        <f ca="1">OFFSET(Нагреватели!#REF!,B339-1,0)</f>
        <v>#REF!</v>
      </c>
      <c r="D339" s="78" t="e">
        <f t="shared" ca="1" si="58"/>
        <v>#REF!</v>
      </c>
      <c r="E339" s="489" t="e">
        <f ca="1">OFFSET(Нагреватели!#REF!,B339-1,0)</f>
        <v>#REF!</v>
      </c>
      <c r="F339" s="500" t="s">
        <v>591</v>
      </c>
      <c r="G339" s="101" t="e">
        <f t="shared" si="67"/>
        <v>#REF!</v>
      </c>
      <c r="H339" s="102" t="e">
        <f t="shared" si="68"/>
        <v>#REF!</v>
      </c>
      <c r="I339" s="520" t="str">
        <f t="shared" si="69"/>
        <v>600x350=ЛОЖЬ</v>
      </c>
      <c r="J339" s="103">
        <v>600</v>
      </c>
      <c r="K339" s="104">
        <v>350</v>
      </c>
      <c r="L339" s="77" t="str">
        <f t="shared" si="62"/>
        <v>600x350</v>
      </c>
      <c r="M339" s="105">
        <f t="shared" si="74"/>
        <v>0.21</v>
      </c>
      <c r="N339" s="106">
        <v>950</v>
      </c>
      <c r="O339" s="107">
        <v>35</v>
      </c>
      <c r="P339" s="107" t="s">
        <v>240</v>
      </c>
      <c r="Q339" s="267">
        <v>36</v>
      </c>
      <c r="R339" s="267" t="e">
        <f>IFERROR(VLOOKUP(L339,ПП_Расчет!C$10:F$19,3,0),ПП_Расчет!E$10)</f>
        <v>#REF!</v>
      </c>
      <c r="S339" s="267" t="e">
        <f>IFERROR(VLOOKUP(L339,ПП_Расчет!C$10:F$19,4,0),ПП_Расчет!F$10)</f>
        <v>#REF!</v>
      </c>
      <c r="T339" s="267"/>
      <c r="U339" s="267"/>
      <c r="V339" s="267"/>
      <c r="W339" s="104">
        <v>756</v>
      </c>
      <c r="X339" s="104">
        <v>3780</v>
      </c>
      <c r="Y339" s="104">
        <v>20</v>
      </c>
      <c r="Z339" s="104">
        <v>142</v>
      </c>
      <c r="AA339" s="77">
        <f t="shared" si="71"/>
        <v>3.674309229864786E-6</v>
      </c>
      <c r="AB339" s="62">
        <f t="shared" si="72"/>
        <v>2.3677248677248675E-2</v>
      </c>
      <c r="AH339" s="40"/>
      <c r="AJ339" s="41"/>
      <c r="AK339" s="41"/>
      <c r="AL339" s="41"/>
      <c r="AP339" s="40"/>
      <c r="AQ339" s="40"/>
      <c r="AR339" s="41"/>
      <c r="AS339" s="41"/>
    </row>
    <row r="340" spans="1:45">
      <c r="A340" s="538" t="s">
        <v>1001</v>
      </c>
      <c r="B340" s="77">
        <f>MATCH(A340,Нагреватели!B$7:B$2018,0)</f>
        <v>98</v>
      </c>
      <c r="C340" s="78" t="e">
        <f ca="1">OFFSET(Нагреватели!#REF!,B340-1,0)</f>
        <v>#REF!</v>
      </c>
      <c r="D340" s="78" t="e">
        <f t="shared" ca="1" si="58"/>
        <v>#REF!</v>
      </c>
      <c r="E340" s="489" t="e">
        <f ca="1">OFFSET(Нагреватели!#REF!,B340-1,0)</f>
        <v>#REF!</v>
      </c>
      <c r="F340" s="500" t="s">
        <v>591</v>
      </c>
      <c r="G340" s="101" t="e">
        <f t="shared" si="67"/>
        <v>#REF!</v>
      </c>
      <c r="H340" s="102" t="e">
        <f t="shared" si="68"/>
        <v>#REF!</v>
      </c>
      <c r="I340" s="520" t="str">
        <f t="shared" si="69"/>
        <v>600x350=ЛОЖЬ</v>
      </c>
      <c r="J340" s="103">
        <v>600</v>
      </c>
      <c r="K340" s="104">
        <v>350</v>
      </c>
      <c r="L340" s="77" t="str">
        <f t="shared" si="62"/>
        <v>600x350</v>
      </c>
      <c r="M340" s="105">
        <f t="shared" si="74"/>
        <v>0.21</v>
      </c>
      <c r="N340" s="106">
        <v>950</v>
      </c>
      <c r="O340" s="107">
        <v>39</v>
      </c>
      <c r="P340" s="107" t="s">
        <v>240</v>
      </c>
      <c r="Q340" s="267">
        <v>48</v>
      </c>
      <c r="R340" s="267" t="e">
        <f>IFERROR(VLOOKUP(L340,ПП_Расчет!C$10:F$19,3,0),ПП_Расчет!E$10)</f>
        <v>#REF!</v>
      </c>
      <c r="S340" s="267" t="e">
        <f>IFERROR(VLOOKUP(L340,ПП_Расчет!C$10:F$19,4,0),ПП_Расчет!F$10)</f>
        <v>#REF!</v>
      </c>
      <c r="T340" s="267"/>
      <c r="U340" s="267"/>
      <c r="V340" s="267"/>
      <c r="W340" s="104">
        <v>756</v>
      </c>
      <c r="X340" s="104">
        <v>3402</v>
      </c>
      <c r="Y340" s="104">
        <v>25</v>
      </c>
      <c r="Z340" s="104">
        <v>158</v>
      </c>
      <c r="AA340" s="77">
        <f t="shared" si="71"/>
        <v>5.054605289761081E-6</v>
      </c>
      <c r="AB340" s="62">
        <f t="shared" si="72"/>
        <v>2.9247501469723689E-2</v>
      </c>
      <c r="AH340" s="40"/>
      <c r="AJ340" s="41"/>
      <c r="AK340" s="41"/>
      <c r="AL340" s="41"/>
      <c r="AP340" s="40"/>
      <c r="AQ340" s="40"/>
      <c r="AR340" s="41"/>
      <c r="AS340" s="41"/>
    </row>
    <row r="341" spans="1:45">
      <c r="A341" s="538" t="s">
        <v>1002</v>
      </c>
      <c r="B341" s="77">
        <f>MATCH(A341,Нагреватели!B$7:B$2018,0)</f>
        <v>55</v>
      </c>
      <c r="C341" s="78" t="e">
        <f ca="1">OFFSET(Нагреватели!#REF!,B341-1,0)</f>
        <v>#REF!</v>
      </c>
      <c r="D341" s="78" t="e">
        <f t="shared" ca="1" si="58"/>
        <v>#REF!</v>
      </c>
      <c r="E341" s="489" t="e">
        <f ca="1">OFFSET(Нагреватели!#REF!,B341-1,0)</f>
        <v>#REF!</v>
      </c>
      <c r="F341" s="500" t="s">
        <v>591</v>
      </c>
      <c r="G341" s="101" t="e">
        <f t="shared" si="67"/>
        <v>#REF!</v>
      </c>
      <c r="H341" s="102" t="e">
        <f t="shared" si="68"/>
        <v>#REF!</v>
      </c>
      <c r="I341" s="520" t="str">
        <f t="shared" si="69"/>
        <v>600x350=ЛОЖЬ</v>
      </c>
      <c r="J341" s="103">
        <v>600</v>
      </c>
      <c r="K341" s="104">
        <v>350</v>
      </c>
      <c r="L341" s="77" t="str">
        <f t="shared" si="62"/>
        <v>600x350</v>
      </c>
      <c r="M341" s="105">
        <f t="shared" si="74"/>
        <v>0.21</v>
      </c>
      <c r="N341" s="106">
        <v>150</v>
      </c>
      <c r="O341" s="107">
        <v>9</v>
      </c>
      <c r="P341" s="107" t="s">
        <v>241</v>
      </c>
      <c r="Q341" s="267" t="e">
        <f>ПП_Нагреватель!B164</f>
        <v>#REF!</v>
      </c>
      <c r="R341" s="267" t="e">
        <f>IFERROR(VLOOKUP(L341,ПП_Расчет!C$10:F$19,3,0),ПП_Расчет!E$10)</f>
        <v>#REF!</v>
      </c>
      <c r="S341" s="267" t="e">
        <f>IFERROR(VLOOKUP(L341,ПП_Расчет!C$10:F$19,4,0),ПП_Расчет!F$10)</f>
        <v>#REF!</v>
      </c>
      <c r="T341" s="267" t="e">
        <f>ПП_Нагреватель!B167</f>
        <v>#REF!</v>
      </c>
      <c r="U341" s="267" t="e">
        <f>ПП_Нагреватель!B168</f>
        <v>#REF!</v>
      </c>
      <c r="V341" s="267"/>
      <c r="W341" s="104">
        <v>756</v>
      </c>
      <c r="X341" s="104">
        <v>4158</v>
      </c>
      <c r="Y341" s="104">
        <v>15</v>
      </c>
      <c r="Z341" s="104">
        <v>135</v>
      </c>
      <c r="AA341" s="77">
        <f t="shared" si="71"/>
        <v>3.7114234645098835E-6</v>
      </c>
      <c r="AB341" s="62">
        <f t="shared" si="72"/>
        <v>1.7035433702100367E-2</v>
      </c>
      <c r="AH341" s="40"/>
      <c r="AJ341" s="41"/>
      <c r="AK341" s="41"/>
      <c r="AL341" s="41"/>
      <c r="AP341" s="40"/>
      <c r="AQ341" s="40"/>
      <c r="AR341" s="41"/>
      <c r="AS341" s="41"/>
    </row>
    <row r="342" spans="1:45">
      <c r="A342" s="538" t="s">
        <v>1003</v>
      </c>
      <c r="B342" s="77">
        <f>MATCH(A342,Нагреватели!B$7:B$2018,0)</f>
        <v>63</v>
      </c>
      <c r="C342" s="78" t="e">
        <f ca="1">OFFSET(Нагреватели!#REF!,B342-1,0)</f>
        <v>#REF!</v>
      </c>
      <c r="D342" s="78" t="e">
        <f t="shared" ca="1" si="58"/>
        <v>#REF!</v>
      </c>
      <c r="E342" s="489" t="e">
        <f ca="1">OFFSET(Нагреватели!#REF!,B342-1,0)</f>
        <v>#REF!</v>
      </c>
      <c r="F342" s="500" t="s">
        <v>591</v>
      </c>
      <c r="G342" s="101" t="e">
        <f t="shared" si="67"/>
        <v>#REF!</v>
      </c>
      <c r="H342" s="102" t="e">
        <f t="shared" si="68"/>
        <v>#REF!</v>
      </c>
      <c r="I342" s="520" t="str">
        <f t="shared" si="69"/>
        <v>600x350=ЛОЖЬ</v>
      </c>
      <c r="J342" s="103">
        <v>600</v>
      </c>
      <c r="K342" s="104">
        <v>350</v>
      </c>
      <c r="L342" s="77" t="str">
        <f t="shared" si="62"/>
        <v>600x350</v>
      </c>
      <c r="M342" s="105">
        <f t="shared" si="74"/>
        <v>0.21</v>
      </c>
      <c r="N342" s="106">
        <v>150</v>
      </c>
      <c r="O342" s="107">
        <v>13</v>
      </c>
      <c r="P342" s="107" t="s">
        <v>241</v>
      </c>
      <c r="Q342" s="267" t="e">
        <f>ПП_Нагреватель!B183</f>
        <v>#REF!</v>
      </c>
      <c r="R342" s="267" t="e">
        <f>IFERROR(VLOOKUP(L342,ПП_Расчет!C$10:F$19,3,0),ПП_Расчет!E$10)</f>
        <v>#REF!</v>
      </c>
      <c r="S342" s="267" t="e">
        <f>IFERROR(VLOOKUP(L342,ПП_Расчет!C$10:F$19,4,0),ПП_Расчет!F$10)</f>
        <v>#REF!</v>
      </c>
      <c r="T342" s="267" t="e">
        <f>ПП_Нагреватель!B186</f>
        <v>#REF!</v>
      </c>
      <c r="U342" s="267" t="e">
        <f>ПП_Нагреватель!B187</f>
        <v>#REF!</v>
      </c>
      <c r="V342" s="267"/>
      <c r="W342" s="104">
        <v>756</v>
      </c>
      <c r="X342" s="104">
        <v>3780</v>
      </c>
      <c r="Y342" s="104">
        <v>25</v>
      </c>
      <c r="Z342" s="104">
        <v>180</v>
      </c>
      <c r="AA342" s="77">
        <f t="shared" si="71"/>
        <v>4.8115954200610284E-6</v>
      </c>
      <c r="AB342" s="62">
        <f t="shared" si="72"/>
        <v>2.943121693121693E-2</v>
      </c>
      <c r="AH342" s="40"/>
      <c r="AJ342" s="41"/>
      <c r="AK342" s="41"/>
      <c r="AL342" s="41"/>
      <c r="AP342" s="40"/>
      <c r="AQ342" s="40"/>
      <c r="AR342" s="41"/>
      <c r="AS342" s="41"/>
    </row>
    <row r="343" spans="1:45">
      <c r="A343" s="537" t="s">
        <v>1004</v>
      </c>
      <c r="B343" s="81">
        <f>MATCH(A343,Нагреватели!B$7:B$2018,0)</f>
        <v>99</v>
      </c>
      <c r="C343" s="82" t="e">
        <f ca="1">OFFSET(Нагреватели!#REF!,B343-1,0)</f>
        <v>#REF!</v>
      </c>
      <c r="D343" s="82" t="e">
        <f t="shared" ca="1" si="58"/>
        <v>#REF!</v>
      </c>
      <c r="E343" s="488" t="e">
        <f ca="1">OFFSET(Нагреватели!#REF!,B343-1,0)</f>
        <v>#REF!</v>
      </c>
      <c r="F343" s="145" t="s">
        <v>591</v>
      </c>
      <c r="G343" s="83" t="e">
        <f t="shared" si="67"/>
        <v>#REF!</v>
      </c>
      <c r="H343" s="84" t="e">
        <f t="shared" si="68"/>
        <v>#REF!</v>
      </c>
      <c r="I343" s="518" t="str">
        <f t="shared" si="69"/>
        <v>700x400=ЛОЖЬ</v>
      </c>
      <c r="J343" s="86">
        <v>700</v>
      </c>
      <c r="K343" s="86">
        <v>400</v>
      </c>
      <c r="L343" s="81" t="str">
        <f t="shared" si="62"/>
        <v>700x400</v>
      </c>
      <c r="M343" s="87">
        <f t="shared" ref="M343:M348" si="75">IF(K343&gt;1,J343*K343,PI()*J343^2/4)/1000000</f>
        <v>0.28000000000000003</v>
      </c>
      <c r="N343" s="88">
        <v>550</v>
      </c>
      <c r="O343" s="89">
        <v>21</v>
      </c>
      <c r="P343" s="89" t="s">
        <v>240</v>
      </c>
      <c r="Q343" s="266">
        <v>16</v>
      </c>
      <c r="R343" s="266" t="e">
        <f>IFERROR(VLOOKUP(L343,ПП_Расчет!C$10:F$19,3,0),ПП_Расчет!E$10)</f>
        <v>#REF!</v>
      </c>
      <c r="S343" s="266" t="e">
        <f>IFERROR(VLOOKUP(L343,ПП_Расчет!C$10:F$19,4,0),ПП_Расчет!F$10)</f>
        <v>#REF!</v>
      </c>
      <c r="T343" s="266"/>
      <c r="U343" s="266"/>
      <c r="V343" s="266"/>
      <c r="W343" s="86">
        <v>1008</v>
      </c>
      <c r="X343" s="86">
        <v>5544</v>
      </c>
      <c r="Y343" s="86">
        <v>6</v>
      </c>
      <c r="Z343" s="86">
        <v>78</v>
      </c>
      <c r="AA343" s="81">
        <f t="shared" si="71"/>
        <v>1.7894363132458372E-6</v>
      </c>
      <c r="AB343" s="52">
        <f t="shared" si="72"/>
        <v>4.1486291486291481E-3</v>
      </c>
      <c r="AH343" s="40"/>
      <c r="AJ343" s="41"/>
      <c r="AK343" s="41"/>
      <c r="AL343" s="41"/>
      <c r="AP343" s="40"/>
      <c r="AQ343" s="40"/>
      <c r="AR343" s="41"/>
      <c r="AS343" s="41"/>
    </row>
    <row r="344" spans="1:45">
      <c r="A344" s="538" t="s">
        <v>1005</v>
      </c>
      <c r="B344" s="77">
        <f>MATCH(A344,Нагреватели!B$7:B$2018,0)</f>
        <v>100</v>
      </c>
      <c r="C344" s="78" t="e">
        <f ca="1">OFFSET(Нагреватели!#REF!,B344-1,0)</f>
        <v>#REF!</v>
      </c>
      <c r="D344" s="78" t="e">
        <f t="shared" ca="1" si="58"/>
        <v>#REF!</v>
      </c>
      <c r="E344" s="489" t="e">
        <f ca="1">OFFSET(Нагреватели!#REF!,B344-1,0)</f>
        <v>#REF!</v>
      </c>
      <c r="F344" s="500" t="s">
        <v>591</v>
      </c>
      <c r="G344" s="101" t="e">
        <f t="shared" si="67"/>
        <v>#REF!</v>
      </c>
      <c r="H344" s="102" t="e">
        <f t="shared" si="68"/>
        <v>#REF!</v>
      </c>
      <c r="I344" s="520" t="str">
        <f t="shared" si="69"/>
        <v>700x400=ЛОЖЬ</v>
      </c>
      <c r="J344" s="103">
        <v>700</v>
      </c>
      <c r="K344" s="104">
        <v>400</v>
      </c>
      <c r="L344" s="77" t="str">
        <f t="shared" si="62"/>
        <v>700x400</v>
      </c>
      <c r="M344" s="105">
        <f>IF(K344&gt;1,J344*K344,PI()*J344^2/4)/1000000</f>
        <v>0.28000000000000003</v>
      </c>
      <c r="N344" s="106">
        <v>550</v>
      </c>
      <c r="O344" s="107">
        <v>25</v>
      </c>
      <c r="P344" s="107" t="s">
        <v>240</v>
      </c>
      <c r="Q344" s="267">
        <v>32</v>
      </c>
      <c r="R344" s="267" t="e">
        <f>IFERROR(VLOOKUP(L344,ПП_Расчет!C$10:F$19,3,0),ПП_Расчет!E$10)</f>
        <v>#REF!</v>
      </c>
      <c r="S344" s="267" t="e">
        <f>IFERROR(VLOOKUP(L344,ПП_Расчет!C$10:F$19,4,0),ПП_Расчет!F$10)</f>
        <v>#REF!</v>
      </c>
      <c r="T344" s="267"/>
      <c r="U344" s="267"/>
      <c r="V344" s="267"/>
      <c r="W344" s="104">
        <v>1008</v>
      </c>
      <c r="X344" s="104">
        <v>5040</v>
      </c>
      <c r="Y344" s="104">
        <v>10</v>
      </c>
      <c r="Z344" s="104">
        <v>100</v>
      </c>
      <c r="AA344" s="77">
        <f t="shared" si="71"/>
        <v>2.4604749307130259E-6</v>
      </c>
      <c r="AB344" s="62">
        <f t="shared" si="72"/>
        <v>7.4404761904761901E-3</v>
      </c>
      <c r="AH344" s="40"/>
      <c r="AJ344" s="41"/>
      <c r="AK344" s="41"/>
      <c r="AL344" s="41"/>
      <c r="AP344" s="40"/>
      <c r="AQ344" s="40"/>
      <c r="AR344" s="41"/>
      <c r="AS344" s="41"/>
    </row>
    <row r="345" spans="1:45">
      <c r="A345" s="538" t="s">
        <v>1006</v>
      </c>
      <c r="B345" s="77">
        <f>MATCH(A345,Нагреватели!B$7:B$2018,0)</f>
        <v>101</v>
      </c>
      <c r="C345" s="78" t="e">
        <f ca="1">OFFSET(Нагреватели!#REF!,B345-1,0)</f>
        <v>#REF!</v>
      </c>
      <c r="D345" s="78" t="e">
        <f t="shared" ca="1" si="58"/>
        <v>#REF!</v>
      </c>
      <c r="E345" s="489" t="e">
        <f ca="1">OFFSET(Нагреватели!#REF!,B345-1,0)</f>
        <v>#REF!</v>
      </c>
      <c r="F345" s="500" t="s">
        <v>591</v>
      </c>
      <c r="G345" s="101" t="e">
        <f t="shared" si="67"/>
        <v>#REF!</v>
      </c>
      <c r="H345" s="102" t="e">
        <f t="shared" si="68"/>
        <v>#REF!</v>
      </c>
      <c r="I345" s="520" t="str">
        <f t="shared" si="69"/>
        <v>700x400=ЛОЖЬ</v>
      </c>
      <c r="J345" s="103">
        <v>700</v>
      </c>
      <c r="K345" s="104">
        <v>400</v>
      </c>
      <c r="L345" s="77" t="str">
        <f t="shared" si="62"/>
        <v>700x400</v>
      </c>
      <c r="M345" s="105">
        <f>IF(K345&gt;1,J345*K345,PI()*J345^2/4)/1000000</f>
        <v>0.28000000000000003</v>
      </c>
      <c r="N345" s="106">
        <v>750</v>
      </c>
      <c r="O345" s="107">
        <v>36</v>
      </c>
      <c r="P345" s="107" t="s">
        <v>240</v>
      </c>
      <c r="Q345" s="267">
        <v>48</v>
      </c>
      <c r="R345" s="267" t="e">
        <f>IFERROR(VLOOKUP(L345,ПП_Расчет!C$10:F$19,3,0),ПП_Расчет!E$10)</f>
        <v>#REF!</v>
      </c>
      <c r="S345" s="267" t="e">
        <f>IFERROR(VLOOKUP(L345,ПП_Расчет!C$10:F$19,4,0),ПП_Расчет!F$10)</f>
        <v>#REF!</v>
      </c>
      <c r="T345" s="267"/>
      <c r="U345" s="267"/>
      <c r="V345" s="267"/>
      <c r="W345" s="104">
        <v>1008</v>
      </c>
      <c r="X345" s="104">
        <v>5040</v>
      </c>
      <c r="Y345" s="104">
        <v>20</v>
      </c>
      <c r="Z345" s="104">
        <v>142</v>
      </c>
      <c r="AA345" s="77">
        <f t="shared" si="71"/>
        <v>2.0667989417989424E-6</v>
      </c>
      <c r="AB345" s="62">
        <f t="shared" si="72"/>
        <v>1.7757936507936507E-2</v>
      </c>
      <c r="AH345" s="40"/>
      <c r="AJ345" s="41"/>
      <c r="AK345" s="41"/>
      <c r="AL345" s="41"/>
      <c r="AP345" s="40"/>
      <c r="AQ345" s="40"/>
      <c r="AR345" s="41"/>
      <c r="AS345" s="41"/>
    </row>
    <row r="346" spans="1:45">
      <c r="A346" s="538" t="s">
        <v>1007</v>
      </c>
      <c r="B346" s="77">
        <f>MATCH(A346,Нагреватели!B$7:B$2018,0)</f>
        <v>102</v>
      </c>
      <c r="C346" s="78" t="e">
        <f ca="1">OFFSET(Нагреватели!#REF!,B346-1,0)</f>
        <v>#REF!</v>
      </c>
      <c r="D346" s="78" t="e">
        <f t="shared" ca="1" si="58"/>
        <v>#REF!</v>
      </c>
      <c r="E346" s="489" t="e">
        <f ca="1">OFFSET(Нагреватели!#REF!,B346-1,0)</f>
        <v>#REF!</v>
      </c>
      <c r="F346" s="500" t="s">
        <v>591</v>
      </c>
      <c r="G346" s="101" t="e">
        <f t="shared" si="67"/>
        <v>#REF!</v>
      </c>
      <c r="H346" s="102" t="e">
        <f t="shared" si="68"/>
        <v>#REF!</v>
      </c>
      <c r="I346" s="520" t="str">
        <f t="shared" si="69"/>
        <v>700x400=ЛОЖЬ</v>
      </c>
      <c r="J346" s="103">
        <v>700</v>
      </c>
      <c r="K346" s="104">
        <v>400</v>
      </c>
      <c r="L346" s="77" t="str">
        <f t="shared" si="62"/>
        <v>700x400</v>
      </c>
      <c r="M346" s="105">
        <f t="shared" si="75"/>
        <v>0.28000000000000003</v>
      </c>
      <c r="N346" s="106">
        <v>750</v>
      </c>
      <c r="O346" s="107">
        <v>40</v>
      </c>
      <c r="P346" s="107" t="s">
        <v>240</v>
      </c>
      <c r="Q346" s="267">
        <v>64</v>
      </c>
      <c r="R346" s="267" t="e">
        <f>IFERROR(VLOOKUP(L346,ПП_Расчет!C$10:F$19,3,0),ПП_Расчет!E$10)</f>
        <v>#REF!</v>
      </c>
      <c r="S346" s="267" t="e">
        <f>IFERROR(VLOOKUP(L346,ПП_Расчет!C$10:F$19,4,0),ПП_Расчет!F$10)</f>
        <v>#REF!</v>
      </c>
      <c r="T346" s="267"/>
      <c r="U346" s="267"/>
      <c r="V346" s="267"/>
      <c r="W346" s="104">
        <v>1008</v>
      </c>
      <c r="X346" s="104">
        <v>4536</v>
      </c>
      <c r="Y346" s="104">
        <v>25</v>
      </c>
      <c r="Z346" s="104">
        <v>158</v>
      </c>
      <c r="AA346" s="77">
        <f t="shared" si="71"/>
        <v>2.8432154754906075E-6</v>
      </c>
      <c r="AB346" s="62">
        <f t="shared" si="72"/>
        <v>2.1935626102292768E-2</v>
      </c>
      <c r="AH346" s="40"/>
      <c r="AJ346" s="41"/>
      <c r="AK346" s="41"/>
      <c r="AL346" s="41"/>
      <c r="AP346" s="40"/>
      <c r="AQ346" s="40"/>
      <c r="AR346" s="41"/>
      <c r="AS346" s="41"/>
    </row>
    <row r="347" spans="1:45">
      <c r="A347" s="538" t="s">
        <v>1008</v>
      </c>
      <c r="B347" s="77">
        <f>MATCH(A347,Нагреватели!B$7:B$2018,0)</f>
        <v>56</v>
      </c>
      <c r="C347" s="78" t="e">
        <f ca="1">OFFSET(Нагреватели!#REF!,B347-1,0)</f>
        <v>#REF!</v>
      </c>
      <c r="D347" s="78" t="e">
        <f t="shared" ca="1" si="58"/>
        <v>#REF!</v>
      </c>
      <c r="E347" s="489" t="e">
        <f ca="1">OFFSET(Нагреватели!#REF!,B347-1,0)</f>
        <v>#REF!</v>
      </c>
      <c r="F347" s="500" t="s">
        <v>591</v>
      </c>
      <c r="G347" s="101" t="e">
        <f t="shared" si="67"/>
        <v>#REF!</v>
      </c>
      <c r="H347" s="102" t="e">
        <f t="shared" si="68"/>
        <v>#REF!</v>
      </c>
      <c r="I347" s="520" t="str">
        <f t="shared" si="69"/>
        <v>700x400=ЛОЖЬ</v>
      </c>
      <c r="J347" s="103">
        <v>700</v>
      </c>
      <c r="K347" s="104">
        <v>400</v>
      </c>
      <c r="L347" s="77" t="str">
        <f t="shared" si="62"/>
        <v>700x400</v>
      </c>
      <c r="M347" s="105">
        <f t="shared" si="75"/>
        <v>0.28000000000000003</v>
      </c>
      <c r="N347" s="106">
        <v>150</v>
      </c>
      <c r="O347" s="107">
        <v>11</v>
      </c>
      <c r="P347" s="107" t="s">
        <v>241</v>
      </c>
      <c r="Q347" s="267" t="e">
        <f>ПП_Нагреватель!B202</f>
        <v>#REF!</v>
      </c>
      <c r="R347" s="267" t="e">
        <f>IFERROR(VLOOKUP(L347,ПП_Расчет!C$10:F$19,3,0),ПП_Расчет!E$10)</f>
        <v>#REF!</v>
      </c>
      <c r="S347" s="267" t="e">
        <f>IFERROR(VLOOKUP(L347,ПП_Расчет!C$10:F$19,4,0),ПП_Расчет!F$10)</f>
        <v>#REF!</v>
      </c>
      <c r="T347" s="267" t="e">
        <f>ПП_Нагреватель!B205</f>
        <v>#REF!</v>
      </c>
      <c r="U347" s="267" t="e">
        <f>ПП_Нагреватель!B206</f>
        <v>#REF!</v>
      </c>
      <c r="V347" s="267"/>
      <c r="W347" s="104">
        <v>1008</v>
      </c>
      <c r="X347" s="104">
        <v>5544</v>
      </c>
      <c r="Y347" s="104">
        <v>15</v>
      </c>
      <c r="Z347" s="104">
        <v>135</v>
      </c>
      <c r="AA347" s="77">
        <f t="shared" si="71"/>
        <v>2.0876756987868103E-6</v>
      </c>
      <c r="AB347" s="62">
        <f t="shared" si="72"/>
        <v>1.2776575276575275E-2</v>
      </c>
      <c r="AH347" s="40"/>
      <c r="AJ347" s="41"/>
      <c r="AK347" s="41"/>
      <c r="AL347" s="41"/>
      <c r="AP347" s="40"/>
      <c r="AQ347" s="40"/>
      <c r="AR347" s="41"/>
      <c r="AS347" s="41"/>
    </row>
    <row r="348" spans="1:45">
      <c r="A348" s="538" t="s">
        <v>1009</v>
      </c>
      <c r="B348" s="77">
        <f>MATCH(A348,Нагреватели!B$7:B$2018,0)</f>
        <v>64</v>
      </c>
      <c r="C348" s="78" t="e">
        <f ca="1">OFFSET(Нагреватели!#REF!,B348-1,0)</f>
        <v>#REF!</v>
      </c>
      <c r="D348" s="78" t="e">
        <f t="shared" ca="1" si="58"/>
        <v>#REF!</v>
      </c>
      <c r="E348" s="489" t="e">
        <f ca="1">OFFSET(Нагреватели!#REF!,B348-1,0)</f>
        <v>#REF!</v>
      </c>
      <c r="F348" s="500" t="s">
        <v>591</v>
      </c>
      <c r="G348" s="101" t="e">
        <f t="shared" si="67"/>
        <v>#REF!</v>
      </c>
      <c r="H348" s="102" t="e">
        <f t="shared" si="68"/>
        <v>#REF!</v>
      </c>
      <c r="I348" s="520" t="str">
        <f t="shared" si="69"/>
        <v>700x400=ЛОЖЬ</v>
      </c>
      <c r="J348" s="103">
        <v>700</v>
      </c>
      <c r="K348" s="104">
        <v>400</v>
      </c>
      <c r="L348" s="77" t="str">
        <f t="shared" si="62"/>
        <v>700x400</v>
      </c>
      <c r="M348" s="105">
        <f t="shared" si="75"/>
        <v>0.28000000000000003</v>
      </c>
      <c r="N348" s="106">
        <v>150</v>
      </c>
      <c r="O348" s="107">
        <v>15</v>
      </c>
      <c r="P348" s="107" t="s">
        <v>241</v>
      </c>
      <c r="Q348" s="267" t="e">
        <f>ПП_Нагреватель!B221</f>
        <v>#REF!</v>
      </c>
      <c r="R348" s="267" t="e">
        <f>IFERROR(VLOOKUP(L348,ПП_Расчет!C$10:F$19,3,0),ПП_Расчет!E$10)</f>
        <v>#REF!</v>
      </c>
      <c r="S348" s="267" t="e">
        <f>IFERROR(VLOOKUP(L348,ПП_Расчет!C$10:F$19,4,0),ПП_Расчет!F$10)</f>
        <v>#REF!</v>
      </c>
      <c r="T348" s="267" t="e">
        <f>ПП_Нагреватель!B224</f>
        <v>#REF!</v>
      </c>
      <c r="U348" s="267" t="e">
        <f>ПП_Нагреватель!B225</f>
        <v>#REF!</v>
      </c>
      <c r="V348" s="267"/>
      <c r="W348" s="104">
        <v>1008</v>
      </c>
      <c r="X348" s="104">
        <v>5040</v>
      </c>
      <c r="Y348" s="104">
        <v>25</v>
      </c>
      <c r="Z348" s="104">
        <v>180</v>
      </c>
      <c r="AA348" s="77">
        <f t="shared" si="71"/>
        <v>2.7065224237843283E-6</v>
      </c>
      <c r="AB348" s="62">
        <f t="shared" si="72"/>
        <v>2.2073412698412696E-2</v>
      </c>
      <c r="AH348" s="40"/>
      <c r="AJ348" s="41"/>
      <c r="AK348" s="41"/>
      <c r="AL348" s="41"/>
      <c r="AP348" s="40"/>
      <c r="AQ348" s="40"/>
      <c r="AR348" s="41"/>
      <c r="AS348" s="41"/>
    </row>
    <row r="349" spans="1:45">
      <c r="A349" s="537" t="s">
        <v>1010</v>
      </c>
      <c r="B349" s="81">
        <f>MATCH(A349,Нагреватели!B$7:B$2018,0)</f>
        <v>103</v>
      </c>
      <c r="C349" s="82" t="e">
        <f ca="1">OFFSET(Нагреватели!#REF!,B349-1,0)</f>
        <v>#REF!</v>
      </c>
      <c r="D349" s="82" t="e">
        <f t="shared" ca="1" si="58"/>
        <v>#REF!</v>
      </c>
      <c r="E349" s="488" t="e">
        <f ca="1">OFFSET(Нагреватели!#REF!,B349-1,0)</f>
        <v>#REF!</v>
      </c>
      <c r="F349" s="145" t="s">
        <v>591</v>
      </c>
      <c r="G349" s="83" t="e">
        <f t="shared" si="67"/>
        <v>#REF!</v>
      </c>
      <c r="H349" s="84" t="e">
        <f t="shared" si="68"/>
        <v>#REF!</v>
      </c>
      <c r="I349" s="518" t="str">
        <f t="shared" si="69"/>
        <v>800x500=ЛОЖЬ</v>
      </c>
      <c r="J349" s="86">
        <v>800</v>
      </c>
      <c r="K349" s="86">
        <v>500</v>
      </c>
      <c r="L349" s="81" t="str">
        <f t="shared" si="62"/>
        <v>800x500</v>
      </c>
      <c r="M349" s="87">
        <f t="shared" ref="M349:M354" si="76">IF(K349&gt;1,J349*K349,PI()*J349^2/4)/1000000</f>
        <v>0.4</v>
      </c>
      <c r="N349" s="88">
        <v>550</v>
      </c>
      <c r="O349" s="89">
        <v>22</v>
      </c>
      <c r="P349" s="89" t="s">
        <v>240</v>
      </c>
      <c r="Q349" s="266">
        <v>16</v>
      </c>
      <c r="R349" s="266" t="e">
        <f>IFERROR(VLOOKUP(L349,ПП_Расчет!C$10:F$19,3,0),ПП_Расчет!E$10)</f>
        <v>#REF!</v>
      </c>
      <c r="S349" s="266" t="e">
        <f>IFERROR(VLOOKUP(L349,ПП_Расчет!C$10:F$19,4,0),ПП_Расчет!F$10)</f>
        <v>#REF!</v>
      </c>
      <c r="T349" s="266"/>
      <c r="U349" s="266"/>
      <c r="V349" s="266"/>
      <c r="W349" s="86">
        <v>1440</v>
      </c>
      <c r="X349" s="86">
        <v>7920</v>
      </c>
      <c r="Y349" s="86">
        <v>6</v>
      </c>
      <c r="Z349" s="86">
        <v>78</v>
      </c>
      <c r="AA349" s="81">
        <f t="shared" si="71"/>
        <v>8.7682379349046006E-7</v>
      </c>
      <c r="AB349" s="52">
        <f t="shared" si="72"/>
        <v>2.9040404040404041E-3</v>
      </c>
      <c r="AH349" s="40"/>
      <c r="AJ349" s="41"/>
      <c r="AK349" s="41"/>
      <c r="AL349" s="41"/>
      <c r="AP349" s="40"/>
      <c r="AQ349" s="40"/>
      <c r="AR349" s="41"/>
      <c r="AS349" s="41"/>
    </row>
    <row r="350" spans="1:45">
      <c r="A350" s="538" t="s">
        <v>1011</v>
      </c>
      <c r="B350" s="77">
        <f>MATCH(A350,Нагреватели!B$7:B$2018,0)</f>
        <v>104</v>
      </c>
      <c r="C350" s="78" t="e">
        <f ca="1">OFFSET(Нагреватели!#REF!,B350-1,0)</f>
        <v>#REF!</v>
      </c>
      <c r="D350" s="78" t="e">
        <f t="shared" ca="1" si="58"/>
        <v>#REF!</v>
      </c>
      <c r="E350" s="489" t="e">
        <f ca="1">OFFSET(Нагреватели!#REF!,B350-1,0)</f>
        <v>#REF!</v>
      </c>
      <c r="F350" s="500" t="s">
        <v>591</v>
      </c>
      <c r="G350" s="101" t="e">
        <f t="shared" si="67"/>
        <v>#REF!</v>
      </c>
      <c r="H350" s="102" t="e">
        <f t="shared" si="68"/>
        <v>#REF!</v>
      </c>
      <c r="I350" s="520" t="str">
        <f t="shared" si="69"/>
        <v>800x500=ЛОЖЬ</v>
      </c>
      <c r="J350" s="103">
        <v>800</v>
      </c>
      <c r="K350" s="104">
        <v>500</v>
      </c>
      <c r="L350" s="77" t="str">
        <f t="shared" si="62"/>
        <v>800x500</v>
      </c>
      <c r="M350" s="105">
        <f t="shared" si="76"/>
        <v>0.4</v>
      </c>
      <c r="N350" s="106">
        <v>550</v>
      </c>
      <c r="O350" s="107">
        <v>27</v>
      </c>
      <c r="P350" s="107" t="s">
        <v>240</v>
      </c>
      <c r="Q350" s="267">
        <v>32</v>
      </c>
      <c r="R350" s="267" t="e">
        <f>IFERROR(VLOOKUP(L350,ПП_Расчет!C$10:F$19,3,0),ПП_Расчет!E$10)</f>
        <v>#REF!</v>
      </c>
      <c r="S350" s="267" t="e">
        <f>IFERROR(VLOOKUP(L350,ПП_Расчет!C$10:F$19,4,0),ПП_Расчет!F$10)</f>
        <v>#REF!</v>
      </c>
      <c r="T350" s="267"/>
      <c r="U350" s="267"/>
      <c r="V350" s="267"/>
      <c r="W350" s="104">
        <v>1440</v>
      </c>
      <c r="X350" s="104">
        <v>7200</v>
      </c>
      <c r="Y350" s="104">
        <v>10</v>
      </c>
      <c r="Z350" s="104">
        <v>100</v>
      </c>
      <c r="AA350" s="77">
        <f t="shared" si="71"/>
        <v>1.2056327160493827E-6</v>
      </c>
      <c r="AB350" s="62">
        <f t="shared" si="72"/>
        <v>5.208333333333333E-3</v>
      </c>
      <c r="AH350" s="40"/>
      <c r="AJ350" s="41"/>
      <c r="AK350" s="41"/>
      <c r="AL350" s="41"/>
      <c r="AP350" s="40"/>
      <c r="AQ350" s="40"/>
      <c r="AR350" s="41"/>
      <c r="AS350" s="41"/>
    </row>
    <row r="351" spans="1:45">
      <c r="A351" s="538" t="s">
        <v>1012</v>
      </c>
      <c r="B351" s="77">
        <f>MATCH(A351,Нагреватели!B$7:B$2018,0)</f>
        <v>105</v>
      </c>
      <c r="C351" s="78" t="e">
        <f ca="1">OFFSET(Нагреватели!#REF!,B351-1,0)</f>
        <v>#REF!</v>
      </c>
      <c r="D351" s="78" t="e">
        <f t="shared" ref="D351:D360" ca="1" si="77">RIGHT(C351,LEN(C351)+1-SEARCH("LV-",C351,1))</f>
        <v>#REF!</v>
      </c>
      <c r="E351" s="489" t="e">
        <f ca="1">OFFSET(Нагреватели!#REF!,B351-1,0)</f>
        <v>#REF!</v>
      </c>
      <c r="F351" s="500" t="s">
        <v>591</v>
      </c>
      <c r="G351" s="101" t="e">
        <f t="shared" ref="G351:G366" si="78">Задача_Расход/$M351/3600</f>
        <v>#REF!</v>
      </c>
      <c r="H351" s="102" t="e">
        <f t="shared" ref="H351:H360" si="79">Задача_Расход*(Задача_Расход*AA351+AB351)</f>
        <v>#REF!</v>
      </c>
      <c r="I351" s="520" t="str">
        <f t="shared" ref="I351:I366" si="80">CONCATENATE($L351,"=",IFERROR(AND(P351=Задача_НагревательТипТекст,Q351&gt;=R351,G351&lt;=IF(Задача_НагревательТип=1,СкоростьMAX_НагревательЭлектрический,СкоростьMAX_НагревательВодяной),G351&gt;=IF(Задача_НагревательТип=1,СкоростьMIN_НагревательЭлектрический,СкоростьMIN_НагревательВодяной)),FALSE))</f>
        <v>800x500=ЛОЖЬ</v>
      </c>
      <c r="J351" s="103">
        <v>800</v>
      </c>
      <c r="K351" s="104">
        <v>500</v>
      </c>
      <c r="L351" s="77" t="str">
        <f t="shared" ref="L351:L366" si="81">IF(K351&gt;0,IF(J351&gt;0,CONCATENATE(J351,"x",K351),K351),CONCATENATE("Ø",J351))</f>
        <v>800x500</v>
      </c>
      <c r="M351" s="105">
        <f t="shared" si="76"/>
        <v>0.4</v>
      </c>
      <c r="N351" s="106">
        <v>750</v>
      </c>
      <c r="O351" s="107">
        <v>38</v>
      </c>
      <c r="P351" s="107" t="s">
        <v>240</v>
      </c>
      <c r="Q351" s="267">
        <v>48</v>
      </c>
      <c r="R351" s="267" t="e">
        <f>IFERROR(VLOOKUP(L351,ПП_Расчет!C$10:F$19,3,0),ПП_Расчет!E$10)</f>
        <v>#REF!</v>
      </c>
      <c r="S351" s="267" t="e">
        <f>IFERROR(VLOOKUP(L351,ПП_Расчет!C$10:F$19,4,0),ПП_Расчет!F$10)</f>
        <v>#REF!</v>
      </c>
      <c r="T351" s="267"/>
      <c r="U351" s="267"/>
      <c r="V351" s="267"/>
      <c r="W351" s="104">
        <v>1440</v>
      </c>
      <c r="X351" s="104">
        <v>7200</v>
      </c>
      <c r="Y351" s="104">
        <v>20</v>
      </c>
      <c r="Z351" s="104">
        <v>142</v>
      </c>
      <c r="AA351" s="77">
        <f t="shared" ref="AA351:AA360" si="82">(Y351/W351-Z351/X351)/(W351-X351)</f>
        <v>1.0127314814814813E-6</v>
      </c>
      <c r="AB351" s="62">
        <f t="shared" ref="AB351:AB360" si="83">Y351/W351-AA351*W351</f>
        <v>1.2430555555555556E-2</v>
      </c>
      <c r="AH351" s="40"/>
      <c r="AJ351" s="41"/>
      <c r="AK351" s="41"/>
      <c r="AL351" s="41"/>
      <c r="AP351" s="40"/>
      <c r="AQ351" s="40"/>
      <c r="AR351" s="41"/>
      <c r="AS351" s="41"/>
    </row>
    <row r="352" spans="1:45">
      <c r="A352" s="538" t="s">
        <v>1013</v>
      </c>
      <c r="B352" s="77">
        <f>MATCH(A352,Нагреватели!B$7:B$2018,0)</f>
        <v>106</v>
      </c>
      <c r="C352" s="78" t="e">
        <f ca="1">OFFSET(Нагреватели!#REF!,B352-1,0)</f>
        <v>#REF!</v>
      </c>
      <c r="D352" s="78" t="e">
        <f t="shared" ca="1" si="77"/>
        <v>#REF!</v>
      </c>
      <c r="E352" s="489" t="e">
        <f ca="1">OFFSET(Нагреватели!#REF!,B352-1,0)</f>
        <v>#REF!</v>
      </c>
      <c r="F352" s="500" t="s">
        <v>591</v>
      </c>
      <c r="G352" s="101" t="e">
        <f t="shared" si="78"/>
        <v>#REF!</v>
      </c>
      <c r="H352" s="102" t="e">
        <f t="shared" si="79"/>
        <v>#REF!</v>
      </c>
      <c r="I352" s="520" t="str">
        <f t="shared" si="80"/>
        <v>800x500=ЛОЖЬ</v>
      </c>
      <c r="J352" s="103">
        <v>800</v>
      </c>
      <c r="K352" s="104">
        <v>500</v>
      </c>
      <c r="L352" s="77" t="str">
        <f t="shared" si="81"/>
        <v>800x500</v>
      </c>
      <c r="M352" s="105">
        <f t="shared" si="76"/>
        <v>0.4</v>
      </c>
      <c r="N352" s="106">
        <v>750</v>
      </c>
      <c r="O352" s="107">
        <v>43</v>
      </c>
      <c r="P352" s="107" t="s">
        <v>240</v>
      </c>
      <c r="Q352" s="267">
        <v>64</v>
      </c>
      <c r="R352" s="267" t="e">
        <f>IFERROR(VLOOKUP(L352,ПП_Расчет!C$10:F$19,3,0),ПП_Расчет!E$10)</f>
        <v>#REF!</v>
      </c>
      <c r="S352" s="267" t="e">
        <f>IFERROR(VLOOKUP(L352,ПП_Расчет!C$10:F$19,4,0),ПП_Расчет!F$10)</f>
        <v>#REF!</v>
      </c>
      <c r="T352" s="267"/>
      <c r="U352" s="267"/>
      <c r="V352" s="267"/>
      <c r="W352" s="104">
        <v>1440</v>
      </c>
      <c r="X352" s="104">
        <v>6480</v>
      </c>
      <c r="Y352" s="104">
        <v>25</v>
      </c>
      <c r="Z352" s="104">
        <v>158</v>
      </c>
      <c r="AA352" s="77">
        <f t="shared" si="82"/>
        <v>1.3931755829903975E-6</v>
      </c>
      <c r="AB352" s="62">
        <f t="shared" si="83"/>
        <v>1.5354938271604938E-2</v>
      </c>
      <c r="AH352" s="40"/>
      <c r="AJ352" s="41"/>
      <c r="AK352" s="41"/>
      <c r="AL352" s="41"/>
      <c r="AP352" s="40"/>
      <c r="AQ352" s="40"/>
      <c r="AR352" s="41"/>
      <c r="AS352" s="41"/>
    </row>
    <row r="353" spans="1:45">
      <c r="A353" s="538" t="s">
        <v>1014</v>
      </c>
      <c r="B353" s="77">
        <f>MATCH(A353,Нагреватели!B$7:B$2018,0)</f>
        <v>57</v>
      </c>
      <c r="C353" s="78" t="e">
        <f ca="1">OFFSET(Нагреватели!#REF!,B353-1,0)</f>
        <v>#REF!</v>
      </c>
      <c r="D353" s="78" t="e">
        <f t="shared" ca="1" si="77"/>
        <v>#REF!</v>
      </c>
      <c r="E353" s="489" t="e">
        <f ca="1">OFFSET(Нагреватели!#REF!,B353-1,0)</f>
        <v>#REF!</v>
      </c>
      <c r="F353" s="500" t="s">
        <v>591</v>
      </c>
      <c r="G353" s="101" t="e">
        <f t="shared" si="78"/>
        <v>#REF!</v>
      </c>
      <c r="H353" s="102" t="e">
        <f t="shared" si="79"/>
        <v>#REF!</v>
      </c>
      <c r="I353" s="520" t="str">
        <f t="shared" si="80"/>
        <v>800x500=ЛОЖЬ</v>
      </c>
      <c r="J353" s="103">
        <v>800</v>
      </c>
      <c r="K353" s="104">
        <v>500</v>
      </c>
      <c r="L353" s="77" t="str">
        <f t="shared" si="81"/>
        <v>800x500</v>
      </c>
      <c r="M353" s="105">
        <f>IF(K353&gt;1,J353*K353,PI()*J353^2/4)/1000000</f>
        <v>0.4</v>
      </c>
      <c r="N353" s="106">
        <v>150</v>
      </c>
      <c r="O353" s="107">
        <v>14</v>
      </c>
      <c r="P353" s="107" t="s">
        <v>241</v>
      </c>
      <c r="Q353" s="267" t="e">
        <f>ПП_Нагреватель!B240</f>
        <v>#REF!</v>
      </c>
      <c r="R353" s="267" t="e">
        <f>IFERROR(VLOOKUP(L353,ПП_Расчет!C$10:F$19,3,0),ПП_Расчет!E$10)</f>
        <v>#REF!</v>
      </c>
      <c r="S353" s="267" t="e">
        <f>IFERROR(VLOOKUP(L353,ПП_Расчет!C$10:F$19,4,0),ПП_Расчет!F$10)</f>
        <v>#REF!</v>
      </c>
      <c r="T353" s="267" t="e">
        <f>ПП_Нагреватель!B243</f>
        <v>#REF!</v>
      </c>
      <c r="U353" s="267" t="e">
        <f>ПП_Нагреватель!B244</f>
        <v>#REF!</v>
      </c>
      <c r="V353" s="267"/>
      <c r="W353" s="104">
        <v>1440</v>
      </c>
      <c r="X353" s="104">
        <v>7920</v>
      </c>
      <c r="Y353" s="104">
        <v>15</v>
      </c>
      <c r="Z353" s="104">
        <v>135</v>
      </c>
      <c r="AA353" s="77">
        <f t="shared" si="82"/>
        <v>1.0229610924055368E-6</v>
      </c>
      <c r="AB353" s="62">
        <f t="shared" si="83"/>
        <v>8.9436026936026928E-3</v>
      </c>
      <c r="AH353" s="40"/>
      <c r="AJ353" s="41"/>
      <c r="AK353" s="41"/>
      <c r="AL353" s="41"/>
      <c r="AP353" s="40"/>
      <c r="AQ353" s="40"/>
      <c r="AR353" s="41"/>
      <c r="AS353" s="41"/>
    </row>
    <row r="354" spans="1:45">
      <c r="A354" s="538" t="s">
        <v>1015</v>
      </c>
      <c r="B354" s="77">
        <f>MATCH(A354,Нагреватели!B$7:B$2018,0)</f>
        <v>65</v>
      </c>
      <c r="C354" s="78" t="e">
        <f ca="1">OFFSET(Нагреватели!#REF!,B354-1,0)</f>
        <v>#REF!</v>
      </c>
      <c r="D354" s="78" t="e">
        <f t="shared" ca="1" si="77"/>
        <v>#REF!</v>
      </c>
      <c r="E354" s="489" t="e">
        <f ca="1">OFFSET(Нагреватели!#REF!,B354-1,0)</f>
        <v>#REF!</v>
      </c>
      <c r="F354" s="500" t="s">
        <v>591</v>
      </c>
      <c r="G354" s="101" t="e">
        <f t="shared" si="78"/>
        <v>#REF!</v>
      </c>
      <c r="H354" s="102" t="e">
        <f t="shared" si="79"/>
        <v>#REF!</v>
      </c>
      <c r="I354" s="520" t="str">
        <f t="shared" si="80"/>
        <v>800x500=ЛОЖЬ</v>
      </c>
      <c r="J354" s="103">
        <v>800</v>
      </c>
      <c r="K354" s="104">
        <v>500</v>
      </c>
      <c r="L354" s="77" t="str">
        <f t="shared" si="81"/>
        <v>800x500</v>
      </c>
      <c r="M354" s="105">
        <f t="shared" si="76"/>
        <v>0.4</v>
      </c>
      <c r="N354" s="106">
        <v>150</v>
      </c>
      <c r="O354" s="107">
        <v>16</v>
      </c>
      <c r="P354" s="107" t="s">
        <v>241</v>
      </c>
      <c r="Q354" s="267" t="e">
        <f>ПП_Нагреватель!B259</f>
        <v>#REF!</v>
      </c>
      <c r="R354" s="267" t="e">
        <f>IFERROR(VLOOKUP(L354,ПП_Расчет!C$10:F$19,3,0),ПП_Расчет!E$10)</f>
        <v>#REF!</v>
      </c>
      <c r="S354" s="267" t="e">
        <f>IFERROR(VLOOKUP(L354,ПП_Расчет!C$10:F$19,4,0),ПП_Расчет!F$10)</f>
        <v>#REF!</v>
      </c>
      <c r="T354" s="267" t="e">
        <f>ПП_Нагреватель!B262</f>
        <v>#REF!</v>
      </c>
      <c r="U354" s="267" t="e">
        <f>ПП_Нагреватель!B263</f>
        <v>#REF!</v>
      </c>
      <c r="V354" s="267"/>
      <c r="W354" s="104">
        <v>1440</v>
      </c>
      <c r="X354" s="104">
        <v>7200</v>
      </c>
      <c r="Y354" s="104">
        <v>25</v>
      </c>
      <c r="Z354" s="104">
        <v>180</v>
      </c>
      <c r="AA354" s="77">
        <f t="shared" si="82"/>
        <v>1.3261959876543212E-6</v>
      </c>
      <c r="AB354" s="62">
        <f t="shared" si="83"/>
        <v>1.545138888888889E-2</v>
      </c>
      <c r="AH354" s="40"/>
      <c r="AJ354" s="41"/>
      <c r="AK354" s="41"/>
      <c r="AL354" s="41"/>
      <c r="AP354" s="40"/>
      <c r="AQ354" s="40"/>
      <c r="AR354" s="41"/>
      <c r="AS354" s="41"/>
    </row>
    <row r="355" spans="1:45">
      <c r="A355" s="537" t="s">
        <v>1016</v>
      </c>
      <c r="B355" s="81">
        <f>MATCH(A355,Нагреватели!B$7:B$2018,0)</f>
        <v>107</v>
      </c>
      <c r="C355" s="82" t="e">
        <f ca="1">OFFSET(Нагреватели!#REF!,B355-1,0)</f>
        <v>#REF!</v>
      </c>
      <c r="D355" s="82" t="e">
        <f t="shared" ca="1" si="77"/>
        <v>#REF!</v>
      </c>
      <c r="E355" s="488" t="e">
        <f ca="1">OFFSET(Нагреватели!#REF!,B355-1,0)</f>
        <v>#REF!</v>
      </c>
      <c r="F355" s="145" t="s">
        <v>591</v>
      </c>
      <c r="G355" s="83" t="e">
        <f t="shared" si="78"/>
        <v>#REF!</v>
      </c>
      <c r="H355" s="84" t="e">
        <f t="shared" si="79"/>
        <v>#REF!</v>
      </c>
      <c r="I355" s="518" t="str">
        <f t="shared" si="80"/>
        <v>900x500=ЛОЖЬ</v>
      </c>
      <c r="J355" s="86">
        <v>900</v>
      </c>
      <c r="K355" s="86">
        <v>500</v>
      </c>
      <c r="L355" s="81" t="str">
        <f t="shared" si="81"/>
        <v>900x500</v>
      </c>
      <c r="M355" s="87">
        <f t="shared" ref="M355:M364" si="84">IF(K355&gt;1,J355*K355,PI()*J355^2/4)/1000000</f>
        <v>0.45</v>
      </c>
      <c r="N355" s="88">
        <v>550</v>
      </c>
      <c r="O355" s="89">
        <v>23</v>
      </c>
      <c r="P355" s="89" t="s">
        <v>240</v>
      </c>
      <c r="Q355" s="266">
        <v>16</v>
      </c>
      <c r="R355" s="266" t="e">
        <f>IFERROR(VLOOKUP(L355,ПП_Расчет!C$10:F$19,3,0),ПП_Расчет!E$10)</f>
        <v>#REF!</v>
      </c>
      <c r="S355" s="266" t="e">
        <f>IFERROR(VLOOKUP(L355,ПП_Расчет!C$10:F$19,4,0),ПП_Расчет!F$10)</f>
        <v>#REF!</v>
      </c>
      <c r="T355" s="266"/>
      <c r="U355" s="266"/>
      <c r="V355" s="266"/>
      <c r="W355" s="86">
        <v>1620</v>
      </c>
      <c r="X355" s="86">
        <v>8910</v>
      </c>
      <c r="Y355" s="86">
        <v>6</v>
      </c>
      <c r="Z355" s="86">
        <v>78</v>
      </c>
      <c r="AA355" s="81">
        <f t="shared" si="82"/>
        <v>6.9279904670851171E-7</v>
      </c>
      <c r="AB355" s="52">
        <f t="shared" si="83"/>
        <v>2.5813692480359147E-3</v>
      </c>
      <c r="AH355" s="40"/>
      <c r="AJ355" s="41"/>
      <c r="AK355" s="41"/>
      <c r="AL355" s="41"/>
      <c r="AP355" s="40"/>
      <c r="AQ355" s="40"/>
      <c r="AR355" s="41"/>
      <c r="AS355" s="41"/>
    </row>
    <row r="356" spans="1:45">
      <c r="A356" s="538" t="s">
        <v>1017</v>
      </c>
      <c r="B356" s="77">
        <f>MATCH(A356,Нагреватели!B$7:B$2018,0)</f>
        <v>108</v>
      </c>
      <c r="C356" s="78" t="e">
        <f ca="1">OFFSET(Нагреватели!#REF!,B356-1,0)</f>
        <v>#REF!</v>
      </c>
      <c r="D356" s="78" t="e">
        <f t="shared" ca="1" si="77"/>
        <v>#REF!</v>
      </c>
      <c r="E356" s="489" t="e">
        <f ca="1">OFFSET(Нагреватели!#REF!,B356-1,0)</f>
        <v>#REF!</v>
      </c>
      <c r="F356" s="500" t="s">
        <v>591</v>
      </c>
      <c r="G356" s="101" t="e">
        <f t="shared" si="78"/>
        <v>#REF!</v>
      </c>
      <c r="H356" s="102" t="e">
        <f t="shared" si="79"/>
        <v>#REF!</v>
      </c>
      <c r="I356" s="520" t="str">
        <f t="shared" si="80"/>
        <v>900x500=ЛОЖЬ</v>
      </c>
      <c r="J356" s="103">
        <v>900</v>
      </c>
      <c r="K356" s="104">
        <v>500</v>
      </c>
      <c r="L356" s="77" t="str">
        <f t="shared" si="81"/>
        <v>900x500</v>
      </c>
      <c r="M356" s="105">
        <f t="shared" si="84"/>
        <v>0.45</v>
      </c>
      <c r="N356" s="106">
        <v>550</v>
      </c>
      <c r="O356" s="107">
        <v>28</v>
      </c>
      <c r="P356" s="107" t="s">
        <v>240</v>
      </c>
      <c r="Q356" s="267">
        <v>32</v>
      </c>
      <c r="R356" s="267" t="e">
        <f>IFERROR(VLOOKUP(L356,ПП_Расчет!C$10:F$19,3,0),ПП_Расчет!E$10)</f>
        <v>#REF!</v>
      </c>
      <c r="S356" s="267" t="e">
        <f>IFERROR(VLOOKUP(L356,ПП_Расчет!C$10:F$19,4,0),ПП_Расчет!F$10)</f>
        <v>#REF!</v>
      </c>
      <c r="T356" s="267"/>
      <c r="U356" s="267"/>
      <c r="V356" s="267"/>
      <c r="W356" s="104">
        <v>1620</v>
      </c>
      <c r="X356" s="104">
        <v>8100</v>
      </c>
      <c r="Y356" s="104">
        <v>10</v>
      </c>
      <c r="Z356" s="104">
        <v>100</v>
      </c>
      <c r="AA356" s="77">
        <f t="shared" si="82"/>
        <v>9.5259868922420359E-7</v>
      </c>
      <c r="AB356" s="62">
        <f t="shared" si="83"/>
        <v>4.6296296296296294E-3</v>
      </c>
      <c r="AH356" s="40"/>
      <c r="AJ356" s="41"/>
      <c r="AK356" s="41"/>
      <c r="AL356" s="41"/>
      <c r="AP356" s="40"/>
      <c r="AQ356" s="40"/>
      <c r="AR356" s="41"/>
      <c r="AS356" s="41"/>
    </row>
    <row r="357" spans="1:45">
      <c r="A357" s="538" t="s">
        <v>1018</v>
      </c>
      <c r="B357" s="77">
        <f>MATCH(A357,Нагреватели!B$7:B$2018,0)</f>
        <v>109</v>
      </c>
      <c r="C357" s="78" t="e">
        <f ca="1">OFFSET(Нагреватели!#REF!,B357-1,0)</f>
        <v>#REF!</v>
      </c>
      <c r="D357" s="78" t="e">
        <f t="shared" ca="1" si="77"/>
        <v>#REF!</v>
      </c>
      <c r="E357" s="489" t="e">
        <f ca="1">OFFSET(Нагреватели!#REF!,B357-1,0)</f>
        <v>#REF!</v>
      </c>
      <c r="F357" s="500" t="s">
        <v>591</v>
      </c>
      <c r="G357" s="101" t="e">
        <f t="shared" si="78"/>
        <v>#REF!</v>
      </c>
      <c r="H357" s="102" t="e">
        <f t="shared" si="79"/>
        <v>#REF!</v>
      </c>
      <c r="I357" s="520" t="str">
        <f t="shared" si="80"/>
        <v>900x500=ЛОЖЬ</v>
      </c>
      <c r="J357" s="103">
        <v>900</v>
      </c>
      <c r="K357" s="104">
        <v>500</v>
      </c>
      <c r="L357" s="77" t="str">
        <f t="shared" si="81"/>
        <v>900x500</v>
      </c>
      <c r="M357" s="105">
        <f t="shared" si="84"/>
        <v>0.45</v>
      </c>
      <c r="N357" s="106">
        <v>750</v>
      </c>
      <c r="O357" s="107">
        <v>39</v>
      </c>
      <c r="P357" s="107" t="s">
        <v>240</v>
      </c>
      <c r="Q357" s="267">
        <v>48</v>
      </c>
      <c r="R357" s="267" t="e">
        <f>IFERROR(VLOOKUP(L357,ПП_Расчет!C$10:F$19,3,0),ПП_Расчет!E$10)</f>
        <v>#REF!</v>
      </c>
      <c r="S357" s="267" t="e">
        <f>IFERROR(VLOOKUP(L357,ПП_Расчет!C$10:F$19,4,0),ПП_Расчет!F$10)</f>
        <v>#REF!</v>
      </c>
      <c r="T357" s="267"/>
      <c r="U357" s="267"/>
      <c r="V357" s="267"/>
      <c r="W357" s="104">
        <v>1620</v>
      </c>
      <c r="X357" s="104">
        <v>8100</v>
      </c>
      <c r="Y357" s="104">
        <v>20</v>
      </c>
      <c r="Z357" s="104">
        <v>142</v>
      </c>
      <c r="AA357" s="77">
        <f t="shared" si="82"/>
        <v>8.0018289894833098E-7</v>
      </c>
      <c r="AB357" s="62">
        <f t="shared" si="83"/>
        <v>1.1049382716049383E-2</v>
      </c>
      <c r="AH357" s="40"/>
      <c r="AJ357" s="41"/>
      <c r="AK357" s="41"/>
      <c r="AL357" s="41"/>
      <c r="AP357" s="40"/>
      <c r="AQ357" s="40"/>
      <c r="AR357" s="41"/>
      <c r="AS357" s="41"/>
    </row>
    <row r="358" spans="1:45">
      <c r="A358" s="538" t="s">
        <v>1019</v>
      </c>
      <c r="B358" s="77">
        <f>MATCH(A358,Нагреватели!B$7:B$2018,0)</f>
        <v>110</v>
      </c>
      <c r="C358" s="78" t="e">
        <f ca="1">OFFSET(Нагреватели!#REF!,B358-1,0)</f>
        <v>#REF!</v>
      </c>
      <c r="D358" s="78" t="e">
        <f t="shared" ca="1" si="77"/>
        <v>#REF!</v>
      </c>
      <c r="E358" s="489" t="e">
        <f ca="1">OFFSET(Нагреватели!#REF!,B358-1,0)</f>
        <v>#REF!</v>
      </c>
      <c r="F358" s="500" t="s">
        <v>591</v>
      </c>
      <c r="G358" s="101" t="e">
        <f t="shared" si="78"/>
        <v>#REF!</v>
      </c>
      <c r="H358" s="102" t="e">
        <f t="shared" si="79"/>
        <v>#REF!</v>
      </c>
      <c r="I358" s="520" t="str">
        <f t="shared" si="80"/>
        <v>900x500=ЛОЖЬ</v>
      </c>
      <c r="J358" s="103">
        <v>900</v>
      </c>
      <c r="K358" s="104">
        <v>500</v>
      </c>
      <c r="L358" s="77" t="str">
        <f t="shared" si="81"/>
        <v>900x500</v>
      </c>
      <c r="M358" s="105">
        <f t="shared" si="84"/>
        <v>0.45</v>
      </c>
      <c r="N358" s="106">
        <v>750</v>
      </c>
      <c r="O358" s="107">
        <v>44</v>
      </c>
      <c r="P358" s="107" t="s">
        <v>240</v>
      </c>
      <c r="Q358" s="267">
        <v>64</v>
      </c>
      <c r="R358" s="267" t="e">
        <f>IFERROR(VLOOKUP(L358,ПП_Расчет!C$10:F$19,3,0),ПП_Расчет!E$10)</f>
        <v>#REF!</v>
      </c>
      <c r="S358" s="267" t="e">
        <f>IFERROR(VLOOKUP(L358,ПП_Расчет!C$10:F$19,4,0),ПП_Расчет!F$10)</f>
        <v>#REF!</v>
      </c>
      <c r="T358" s="267"/>
      <c r="U358" s="267"/>
      <c r="V358" s="267"/>
      <c r="W358" s="104">
        <v>1620</v>
      </c>
      <c r="X358" s="104">
        <v>7290</v>
      </c>
      <c r="Y358" s="104">
        <v>25</v>
      </c>
      <c r="Z358" s="104">
        <v>158</v>
      </c>
      <c r="AA358" s="77">
        <f t="shared" si="82"/>
        <v>1.1007807075479686E-6</v>
      </c>
      <c r="AB358" s="62">
        <f t="shared" si="83"/>
        <v>1.3648834019204388E-2</v>
      </c>
      <c r="AH358" s="40"/>
      <c r="AJ358" s="41"/>
      <c r="AK358" s="41"/>
      <c r="AL358" s="41"/>
      <c r="AP358" s="40"/>
      <c r="AQ358" s="40"/>
      <c r="AR358" s="41"/>
      <c r="AS358" s="41"/>
    </row>
    <row r="359" spans="1:45">
      <c r="A359" s="538" t="s">
        <v>1020</v>
      </c>
      <c r="B359" s="77">
        <f>MATCH(A359,Нагреватели!B$7:B$2018,0)</f>
        <v>58</v>
      </c>
      <c r="C359" s="78" t="e">
        <f ca="1">OFFSET(Нагреватели!#REF!,B359-1,0)</f>
        <v>#REF!</v>
      </c>
      <c r="D359" s="78" t="e">
        <f t="shared" ca="1" si="77"/>
        <v>#REF!</v>
      </c>
      <c r="E359" s="489" t="e">
        <f ca="1">OFFSET(Нагреватели!#REF!,B359-1,0)</f>
        <v>#REF!</v>
      </c>
      <c r="F359" s="500" t="s">
        <v>591</v>
      </c>
      <c r="G359" s="101" t="e">
        <f t="shared" si="78"/>
        <v>#REF!</v>
      </c>
      <c r="H359" s="102" t="e">
        <f t="shared" si="79"/>
        <v>#REF!</v>
      </c>
      <c r="I359" s="520" t="str">
        <f t="shared" si="80"/>
        <v>900x500=ЛОЖЬ</v>
      </c>
      <c r="J359" s="103">
        <v>900</v>
      </c>
      <c r="K359" s="104">
        <v>500</v>
      </c>
      <c r="L359" s="77" t="str">
        <f t="shared" si="81"/>
        <v>900x500</v>
      </c>
      <c r="M359" s="105">
        <f>IF(K359&gt;1,J359*K359,PI()*J359^2/4)/1000000</f>
        <v>0.45</v>
      </c>
      <c r="N359" s="106">
        <v>150</v>
      </c>
      <c r="O359" s="107">
        <v>16</v>
      </c>
      <c r="P359" s="107" t="s">
        <v>241</v>
      </c>
      <c r="Q359" s="267" t="e">
        <f>ПП_Нагреватель!B278</f>
        <v>#REF!</v>
      </c>
      <c r="R359" s="267" t="e">
        <f>IFERROR(VLOOKUP(L359,ПП_Расчет!C$10:F$19,3,0),ПП_Расчет!E$10)</f>
        <v>#REF!</v>
      </c>
      <c r="S359" s="267" t="e">
        <f>IFERROR(VLOOKUP(L359,ПП_Расчет!C$10:F$19,4,0),ПП_Расчет!F$10)</f>
        <v>#REF!</v>
      </c>
      <c r="T359" s="267" t="e">
        <f>ПП_Нагреватель!B281</f>
        <v>#REF!</v>
      </c>
      <c r="U359" s="267" t="e">
        <f>ПП_Нагреватель!B282</f>
        <v>#REF!</v>
      </c>
      <c r="V359" s="267"/>
      <c r="W359" s="104">
        <v>1620</v>
      </c>
      <c r="X359" s="104">
        <v>8910</v>
      </c>
      <c r="Y359" s="104">
        <v>15</v>
      </c>
      <c r="Z359" s="104">
        <v>135</v>
      </c>
      <c r="AA359" s="77">
        <f t="shared" si="82"/>
        <v>8.0826555449326386E-7</v>
      </c>
      <c r="AB359" s="62">
        <f t="shared" si="83"/>
        <v>7.9498690609801706E-3</v>
      </c>
      <c r="AH359" s="40"/>
      <c r="AJ359" s="41"/>
      <c r="AK359" s="41"/>
      <c r="AL359" s="41"/>
      <c r="AP359" s="40"/>
      <c r="AQ359" s="40"/>
      <c r="AR359" s="41"/>
      <c r="AS359" s="41"/>
    </row>
    <row r="360" spans="1:45">
      <c r="A360" s="538" t="s">
        <v>1021</v>
      </c>
      <c r="B360" s="77">
        <f>MATCH(A360,Нагреватели!B$7:B$2018,0)</f>
        <v>66</v>
      </c>
      <c r="C360" s="78" t="e">
        <f ca="1">OFFSET(Нагреватели!#REF!,B360-1,0)</f>
        <v>#REF!</v>
      </c>
      <c r="D360" s="78" t="e">
        <f t="shared" ca="1" si="77"/>
        <v>#REF!</v>
      </c>
      <c r="E360" s="489" t="e">
        <f ca="1">OFFSET(Нагреватели!#REF!,B360-1,0)</f>
        <v>#REF!</v>
      </c>
      <c r="F360" s="500" t="s">
        <v>591</v>
      </c>
      <c r="G360" s="101" t="e">
        <f t="shared" si="78"/>
        <v>#REF!</v>
      </c>
      <c r="H360" s="102" t="e">
        <f t="shared" si="79"/>
        <v>#REF!</v>
      </c>
      <c r="I360" s="520" t="str">
        <f t="shared" si="80"/>
        <v>900x500=ЛОЖЬ</v>
      </c>
      <c r="J360" s="103">
        <v>900</v>
      </c>
      <c r="K360" s="104">
        <v>500</v>
      </c>
      <c r="L360" s="77" t="str">
        <f t="shared" si="81"/>
        <v>900x500</v>
      </c>
      <c r="M360" s="105">
        <f t="shared" si="84"/>
        <v>0.45</v>
      </c>
      <c r="N360" s="106">
        <v>150</v>
      </c>
      <c r="O360" s="107">
        <v>18</v>
      </c>
      <c r="P360" s="107" t="s">
        <v>241</v>
      </c>
      <c r="Q360" s="267" t="e">
        <f>ПП_Нагреватель!B297</f>
        <v>#REF!</v>
      </c>
      <c r="R360" s="267" t="e">
        <f>IFERROR(VLOOKUP(L360,ПП_Расчет!C$10:F$19,3,0),ПП_Расчет!E$10)</f>
        <v>#REF!</v>
      </c>
      <c r="S360" s="267" t="e">
        <f>IFERROR(VLOOKUP(L360,ПП_Расчет!C$10:F$19,4,0),ПП_Расчет!F$10)</f>
        <v>#REF!</v>
      </c>
      <c r="T360" s="267" t="e">
        <f>ПП_Нагреватель!B300</f>
        <v>#REF!</v>
      </c>
      <c r="U360" s="267" t="e">
        <f>ПП_Нагреватель!B301</f>
        <v>#REF!</v>
      </c>
      <c r="V360" s="267"/>
      <c r="W360" s="104">
        <v>1620</v>
      </c>
      <c r="X360" s="104">
        <v>8100</v>
      </c>
      <c r="Y360" s="104">
        <v>25</v>
      </c>
      <c r="Z360" s="104">
        <v>180</v>
      </c>
      <c r="AA360" s="77">
        <f t="shared" si="82"/>
        <v>1.0478585581466243E-6</v>
      </c>
      <c r="AB360" s="62">
        <f t="shared" si="83"/>
        <v>1.3734567901234566E-2</v>
      </c>
      <c r="AH360" s="40"/>
      <c r="AJ360" s="41"/>
      <c r="AK360" s="41"/>
      <c r="AL360" s="41"/>
      <c r="AP360" s="40"/>
      <c r="AQ360" s="40"/>
      <c r="AR360" s="41"/>
      <c r="AS360" s="41"/>
    </row>
    <row r="361" spans="1:45">
      <c r="A361" s="537" t="s">
        <v>1022</v>
      </c>
      <c r="B361" s="81">
        <f>MATCH(A361,Нагреватели!B$7:B$2018,0)</f>
        <v>111</v>
      </c>
      <c r="C361" s="82" t="e">
        <f ca="1">OFFSET(Нагреватели!#REF!,B361-1,0)</f>
        <v>#REF!</v>
      </c>
      <c r="D361" s="82" t="e">
        <f t="shared" ref="D361:D366" ca="1" si="85">RIGHT(C361,LEN(C361)+1-SEARCH("LV-",C361,1))</f>
        <v>#REF!</v>
      </c>
      <c r="E361" s="488" t="e">
        <f ca="1">OFFSET(Нагреватели!#REF!,B361-1,0)</f>
        <v>#REF!</v>
      </c>
      <c r="F361" s="145" t="s">
        <v>591</v>
      </c>
      <c r="G361" s="83" t="e">
        <f t="shared" si="78"/>
        <v>#REF!</v>
      </c>
      <c r="H361" s="84" t="e">
        <f t="shared" ref="H361:H366" si="86">Задача_Расход*(Задача_Расход*AA361+AB361)</f>
        <v>#REF!</v>
      </c>
      <c r="I361" s="518" t="str">
        <f t="shared" si="80"/>
        <v>1000x500=ЛОЖЬ</v>
      </c>
      <c r="J361" s="86">
        <v>1000</v>
      </c>
      <c r="K361" s="86">
        <v>500</v>
      </c>
      <c r="L361" s="81" t="str">
        <f t="shared" si="81"/>
        <v>1000x500</v>
      </c>
      <c r="M361" s="87">
        <f t="shared" si="84"/>
        <v>0.5</v>
      </c>
      <c r="N361" s="88">
        <v>550</v>
      </c>
      <c r="O361" s="89">
        <v>24</v>
      </c>
      <c r="P361" s="89" t="s">
        <v>240</v>
      </c>
      <c r="Q361" s="266">
        <v>16</v>
      </c>
      <c r="R361" s="266" t="e">
        <f>IFERROR(VLOOKUP(L361,ПП_Расчет!C$10:F$19,3,0),ПП_Расчет!E$10)</f>
        <v>#REF!</v>
      </c>
      <c r="S361" s="266" t="e">
        <f>IFERROR(VLOOKUP(L361,ПП_Расчет!C$10:F$19,4,0),ПП_Расчет!F$10)</f>
        <v>#REF!</v>
      </c>
      <c r="T361" s="266"/>
      <c r="U361" s="266"/>
      <c r="V361" s="266"/>
      <c r="W361" s="86">
        <v>1800</v>
      </c>
      <c r="X361" s="86">
        <v>9900</v>
      </c>
      <c r="Y361" s="86">
        <v>6</v>
      </c>
      <c r="Z361" s="86">
        <v>78</v>
      </c>
      <c r="AA361" s="81">
        <f t="shared" ref="AA361:AA366" si="87">(Y361/W361-Z361/X361)/(W361-X361)</f>
        <v>5.6116722783389445E-7</v>
      </c>
      <c r="AB361" s="52">
        <f t="shared" ref="AB361:AB366" si="88">Y361/W361-AA361*W361</f>
        <v>2.3232323232323234E-3</v>
      </c>
      <c r="AH361" s="40"/>
      <c r="AJ361" s="41"/>
      <c r="AK361" s="41"/>
      <c r="AL361" s="41"/>
      <c r="AP361" s="40"/>
      <c r="AQ361" s="40"/>
      <c r="AR361" s="41"/>
      <c r="AS361" s="41"/>
    </row>
    <row r="362" spans="1:45">
      <c r="A362" s="538" t="s">
        <v>1023</v>
      </c>
      <c r="B362" s="77">
        <f>MATCH(A362,Нагреватели!B$7:B$2018,0)</f>
        <v>112</v>
      </c>
      <c r="C362" s="78" t="e">
        <f ca="1">OFFSET(Нагреватели!#REF!,B362-1,0)</f>
        <v>#REF!</v>
      </c>
      <c r="D362" s="78" t="e">
        <f t="shared" ca="1" si="85"/>
        <v>#REF!</v>
      </c>
      <c r="E362" s="489" t="e">
        <f ca="1">OFFSET(Нагреватели!#REF!,B362-1,0)</f>
        <v>#REF!</v>
      </c>
      <c r="F362" s="500" t="s">
        <v>591</v>
      </c>
      <c r="G362" s="101" t="e">
        <f t="shared" si="78"/>
        <v>#REF!</v>
      </c>
      <c r="H362" s="102" t="e">
        <f t="shared" si="86"/>
        <v>#REF!</v>
      </c>
      <c r="I362" s="520" t="str">
        <f t="shared" si="80"/>
        <v>1000x500=ЛОЖЬ</v>
      </c>
      <c r="J362" s="103">
        <v>1000</v>
      </c>
      <c r="K362" s="104">
        <v>500</v>
      </c>
      <c r="L362" s="77" t="str">
        <f t="shared" si="81"/>
        <v>1000x500</v>
      </c>
      <c r="M362" s="105">
        <f t="shared" si="84"/>
        <v>0.5</v>
      </c>
      <c r="N362" s="106">
        <v>550</v>
      </c>
      <c r="O362" s="107">
        <v>29</v>
      </c>
      <c r="P362" s="107" t="s">
        <v>240</v>
      </c>
      <c r="Q362" s="267">
        <v>32</v>
      </c>
      <c r="R362" s="267" t="e">
        <f>IFERROR(VLOOKUP(L362,ПП_Расчет!C$10:F$19,3,0),ПП_Расчет!E$10)</f>
        <v>#REF!</v>
      </c>
      <c r="S362" s="267" t="e">
        <f>IFERROR(VLOOKUP(L362,ПП_Расчет!C$10:F$19,4,0),ПП_Расчет!F$10)</f>
        <v>#REF!</v>
      </c>
      <c r="T362" s="267"/>
      <c r="U362" s="267"/>
      <c r="V362" s="267"/>
      <c r="W362" s="104">
        <v>1800</v>
      </c>
      <c r="X362" s="104">
        <v>9000</v>
      </c>
      <c r="Y362" s="104">
        <v>10</v>
      </c>
      <c r="Z362" s="104">
        <v>100</v>
      </c>
      <c r="AA362" s="77">
        <f t="shared" si="87"/>
        <v>7.71604938271605E-7</v>
      </c>
      <c r="AB362" s="62">
        <f t="shared" si="88"/>
        <v>4.1666666666666666E-3</v>
      </c>
      <c r="AH362" s="40"/>
      <c r="AJ362" s="41"/>
      <c r="AK362" s="41"/>
      <c r="AL362" s="41"/>
      <c r="AP362" s="40"/>
      <c r="AQ362" s="40"/>
      <c r="AR362" s="41"/>
      <c r="AS362" s="41"/>
    </row>
    <row r="363" spans="1:45">
      <c r="A363" s="538" t="s">
        <v>1024</v>
      </c>
      <c r="B363" s="77">
        <f>MATCH(A363,Нагреватели!B$7:B$2018,0)</f>
        <v>113</v>
      </c>
      <c r="C363" s="78" t="e">
        <f ca="1">OFFSET(Нагреватели!#REF!,B363-1,0)</f>
        <v>#REF!</v>
      </c>
      <c r="D363" s="78" t="e">
        <f t="shared" ca="1" si="85"/>
        <v>#REF!</v>
      </c>
      <c r="E363" s="489" t="e">
        <f ca="1">OFFSET(Нагреватели!#REF!,B363-1,0)</f>
        <v>#REF!</v>
      </c>
      <c r="F363" s="500" t="s">
        <v>591</v>
      </c>
      <c r="G363" s="101" t="e">
        <f t="shared" si="78"/>
        <v>#REF!</v>
      </c>
      <c r="H363" s="102" t="e">
        <f t="shared" si="86"/>
        <v>#REF!</v>
      </c>
      <c r="I363" s="520" t="str">
        <f t="shared" si="80"/>
        <v>1000x500=ЛОЖЬ</v>
      </c>
      <c r="J363" s="103">
        <v>1000</v>
      </c>
      <c r="K363" s="104">
        <v>500</v>
      </c>
      <c r="L363" s="77" t="str">
        <f t="shared" si="81"/>
        <v>1000x500</v>
      </c>
      <c r="M363" s="105">
        <f t="shared" si="84"/>
        <v>0.5</v>
      </c>
      <c r="N363" s="106">
        <v>750</v>
      </c>
      <c r="O363" s="107">
        <v>40</v>
      </c>
      <c r="P363" s="107" t="s">
        <v>240</v>
      </c>
      <c r="Q363" s="267">
        <v>48</v>
      </c>
      <c r="R363" s="267" t="e">
        <f>IFERROR(VLOOKUP(L363,ПП_Расчет!C$10:F$19,3,0),ПП_Расчет!E$10)</f>
        <v>#REF!</v>
      </c>
      <c r="S363" s="267" t="e">
        <f>IFERROR(VLOOKUP(L363,ПП_Расчет!C$10:F$19,4,0),ПП_Расчет!F$10)</f>
        <v>#REF!</v>
      </c>
      <c r="T363" s="267"/>
      <c r="U363" s="267"/>
      <c r="V363" s="267"/>
      <c r="W363" s="104">
        <v>1800</v>
      </c>
      <c r="X363" s="104">
        <v>9000</v>
      </c>
      <c r="Y363" s="104">
        <v>20</v>
      </c>
      <c r="Z363" s="104">
        <v>142</v>
      </c>
      <c r="AA363" s="77">
        <f t="shared" si="87"/>
        <v>6.4814814814814833E-7</v>
      </c>
      <c r="AB363" s="62">
        <f t="shared" si="88"/>
        <v>9.944444444444445E-3</v>
      </c>
      <c r="AH363" s="40"/>
      <c r="AJ363" s="41"/>
      <c r="AK363" s="41"/>
      <c r="AL363" s="41"/>
      <c r="AP363" s="40"/>
      <c r="AQ363" s="40"/>
      <c r="AR363" s="41"/>
      <c r="AS363" s="41"/>
    </row>
    <row r="364" spans="1:45">
      <c r="A364" s="538" t="s">
        <v>1025</v>
      </c>
      <c r="B364" s="77">
        <f>MATCH(A364,Нагреватели!B$7:B$2018,0)</f>
        <v>114</v>
      </c>
      <c r="C364" s="78" t="e">
        <f ca="1">OFFSET(Нагреватели!#REF!,B364-1,0)</f>
        <v>#REF!</v>
      </c>
      <c r="D364" s="78" t="e">
        <f t="shared" ca="1" si="85"/>
        <v>#REF!</v>
      </c>
      <c r="E364" s="489" t="e">
        <f ca="1">OFFSET(Нагреватели!#REF!,B364-1,0)</f>
        <v>#REF!</v>
      </c>
      <c r="F364" s="500" t="s">
        <v>591</v>
      </c>
      <c r="G364" s="101" t="e">
        <f t="shared" si="78"/>
        <v>#REF!</v>
      </c>
      <c r="H364" s="102" t="e">
        <f t="shared" si="86"/>
        <v>#REF!</v>
      </c>
      <c r="I364" s="520" t="str">
        <f t="shared" si="80"/>
        <v>1000x500=ЛОЖЬ</v>
      </c>
      <c r="J364" s="103">
        <v>1000</v>
      </c>
      <c r="K364" s="104">
        <v>500</v>
      </c>
      <c r="L364" s="77" t="str">
        <f t="shared" si="81"/>
        <v>1000x500</v>
      </c>
      <c r="M364" s="105">
        <f t="shared" si="84"/>
        <v>0.5</v>
      </c>
      <c r="N364" s="106">
        <v>750</v>
      </c>
      <c r="O364" s="107">
        <v>45</v>
      </c>
      <c r="P364" s="107" t="s">
        <v>240</v>
      </c>
      <c r="Q364" s="267">
        <v>64</v>
      </c>
      <c r="R364" s="267" t="e">
        <f>IFERROR(VLOOKUP(L364,ПП_Расчет!C$10:F$19,3,0),ПП_Расчет!E$10)</f>
        <v>#REF!</v>
      </c>
      <c r="S364" s="267" t="e">
        <f>IFERROR(VLOOKUP(L364,ПП_Расчет!C$10:F$19,4,0),ПП_Расчет!F$10)</f>
        <v>#REF!</v>
      </c>
      <c r="T364" s="267"/>
      <c r="U364" s="267"/>
      <c r="V364" s="267"/>
      <c r="W364" s="104">
        <v>1800</v>
      </c>
      <c r="X364" s="104">
        <v>8100</v>
      </c>
      <c r="Y364" s="104">
        <v>25</v>
      </c>
      <c r="Z364" s="104">
        <v>158</v>
      </c>
      <c r="AA364" s="77">
        <f t="shared" si="87"/>
        <v>8.9163237311385455E-7</v>
      </c>
      <c r="AB364" s="62">
        <f t="shared" si="88"/>
        <v>1.228395061728395E-2</v>
      </c>
      <c r="AH364" s="40"/>
      <c r="AJ364" s="41"/>
      <c r="AK364" s="41"/>
      <c r="AL364" s="41"/>
      <c r="AP364" s="40"/>
      <c r="AQ364" s="40"/>
      <c r="AR364" s="41"/>
      <c r="AS364" s="41"/>
    </row>
    <row r="365" spans="1:45">
      <c r="A365" s="538" t="s">
        <v>1026</v>
      </c>
      <c r="B365" s="77">
        <f>MATCH(A365,Нагреватели!B$7:B$2018,0)</f>
        <v>50</v>
      </c>
      <c r="C365" s="78" t="e">
        <f ca="1">OFFSET(Нагреватели!#REF!,B365-1,0)</f>
        <v>#REF!</v>
      </c>
      <c r="D365" s="78" t="e">
        <f t="shared" ca="1" si="85"/>
        <v>#REF!</v>
      </c>
      <c r="E365" s="489" t="e">
        <f ca="1">OFFSET(Нагреватели!#REF!,B365-1,0)</f>
        <v>#REF!</v>
      </c>
      <c r="F365" s="500" t="s">
        <v>591</v>
      </c>
      <c r="G365" s="101" t="e">
        <f t="shared" si="78"/>
        <v>#REF!</v>
      </c>
      <c r="H365" s="102" t="e">
        <f t="shared" si="86"/>
        <v>#REF!</v>
      </c>
      <c r="I365" s="520" t="str">
        <f t="shared" si="80"/>
        <v>1000x500=ЛОЖЬ</v>
      </c>
      <c r="J365" s="103">
        <v>1000</v>
      </c>
      <c r="K365" s="104">
        <v>500</v>
      </c>
      <c r="L365" s="77" t="str">
        <f t="shared" si="81"/>
        <v>1000x500</v>
      </c>
      <c r="M365" s="105">
        <f>IF(K365&gt;1,J365*K365,PI()*J365^2/4)/1000000</f>
        <v>0.5</v>
      </c>
      <c r="N365" s="106">
        <v>150</v>
      </c>
      <c r="O365" s="107">
        <v>19</v>
      </c>
      <c r="P365" s="107" t="s">
        <v>241</v>
      </c>
      <c r="Q365" s="267" t="e">
        <f>ПП_Нагреватель!B310</f>
        <v>#REF!</v>
      </c>
      <c r="R365" s="267" t="e">
        <f>IFERROR(VLOOKUP(L365,ПП_Расчет!C$10:F$19,3,0),ПП_Расчет!E$10)</f>
        <v>#REF!</v>
      </c>
      <c r="S365" s="267" t="e">
        <f>IFERROR(VLOOKUP(L365,ПП_Расчет!C$10:F$19,4,0),ПП_Расчет!F$10)</f>
        <v>#REF!</v>
      </c>
      <c r="T365" s="267" t="e">
        <f>ПП_Нагреватель!B313</f>
        <v>#REF!</v>
      </c>
      <c r="U365" s="267" t="e">
        <f>ПП_Нагреватель!B314</f>
        <v>#REF!</v>
      </c>
      <c r="V365" s="267"/>
      <c r="W365" s="104">
        <v>1800</v>
      </c>
      <c r="X365" s="104">
        <v>9900</v>
      </c>
      <c r="Y365" s="104">
        <v>15</v>
      </c>
      <c r="Z365" s="104">
        <v>135</v>
      </c>
      <c r="AA365" s="77">
        <f t="shared" si="87"/>
        <v>6.5469509913954356E-7</v>
      </c>
      <c r="AB365" s="62">
        <f t="shared" si="88"/>
        <v>7.1548821548821553E-3</v>
      </c>
      <c r="AH365" s="40"/>
      <c r="AJ365" s="41"/>
      <c r="AK365" s="41"/>
      <c r="AL365" s="41"/>
      <c r="AP365" s="40"/>
      <c r="AQ365" s="40"/>
      <c r="AR365" s="41"/>
      <c r="AS365" s="41"/>
    </row>
    <row r="366" spans="1:45">
      <c r="A366" s="539" t="s">
        <v>1027</v>
      </c>
      <c r="B366" s="91">
        <f>MATCH(A366,Нагреватели!B$7:B$2018,0)</f>
        <v>67</v>
      </c>
      <c r="C366" s="92" t="e">
        <f ca="1">OFFSET(Нагреватели!#REF!,B366-1,0)</f>
        <v>#REF!</v>
      </c>
      <c r="D366" s="92" t="e">
        <f t="shared" ca="1" si="85"/>
        <v>#REF!</v>
      </c>
      <c r="E366" s="487" t="e">
        <f ca="1">OFFSET(Нагреватели!#REF!,B366-1,0)</f>
        <v>#REF!</v>
      </c>
      <c r="F366" s="146" t="s">
        <v>591</v>
      </c>
      <c r="G366" s="93" t="e">
        <f t="shared" si="78"/>
        <v>#REF!</v>
      </c>
      <c r="H366" s="94" t="e">
        <f t="shared" si="86"/>
        <v>#REF!</v>
      </c>
      <c r="I366" s="519" t="str">
        <f t="shared" si="80"/>
        <v>1000x500=ЛОЖЬ</v>
      </c>
      <c r="J366" s="95">
        <v>1000</v>
      </c>
      <c r="K366" s="96">
        <v>500</v>
      </c>
      <c r="L366" s="91" t="str">
        <f t="shared" si="81"/>
        <v>1000x500</v>
      </c>
      <c r="M366" s="97">
        <f t="shared" ref="M366" si="89">IF(K366&gt;1,J366*K366,PI()*J366^2/4)/1000000</f>
        <v>0.5</v>
      </c>
      <c r="N366" s="98">
        <v>150</v>
      </c>
      <c r="O366" s="99">
        <v>20</v>
      </c>
      <c r="P366" s="99" t="s">
        <v>241</v>
      </c>
      <c r="Q366" s="268" t="e">
        <f>ПП_Нагреватель!B329</f>
        <v>#REF!</v>
      </c>
      <c r="R366" s="268" t="e">
        <f>IFERROR(VLOOKUP(L366,ПП_Расчет!C$10:F$19,3,0),ПП_Расчет!E$10)</f>
        <v>#REF!</v>
      </c>
      <c r="S366" s="268" t="e">
        <f>IFERROR(VLOOKUP(L366,ПП_Расчет!C$10:F$19,4,0),ПП_Расчет!F$10)</f>
        <v>#REF!</v>
      </c>
      <c r="T366" s="268" t="e">
        <f>ПП_Нагреватель!B332</f>
        <v>#REF!</v>
      </c>
      <c r="U366" s="268" t="e">
        <f>ПП_Нагреватель!B333</f>
        <v>#REF!</v>
      </c>
      <c r="V366" s="268"/>
      <c r="W366" s="96">
        <v>1800</v>
      </c>
      <c r="X366" s="96">
        <v>9000</v>
      </c>
      <c r="Y366" s="96">
        <v>25</v>
      </c>
      <c r="Z366" s="96">
        <v>180</v>
      </c>
      <c r="AA366" s="91">
        <f t="shared" si="87"/>
        <v>8.4876543209876563E-7</v>
      </c>
      <c r="AB366" s="68">
        <f t="shared" si="88"/>
        <v>1.2361111111111111E-2</v>
      </c>
      <c r="AH366" s="40"/>
      <c r="AJ366" s="41"/>
      <c r="AK366" s="41"/>
      <c r="AL366" s="41"/>
      <c r="AP366" s="40"/>
      <c r="AQ366" s="40"/>
      <c r="AR366" s="41"/>
      <c r="AS366" s="41"/>
    </row>
    <row r="368" spans="1:45">
      <c r="A368" s="39" t="s">
        <v>308</v>
      </c>
      <c r="AF368" s="40"/>
      <c r="AG368" s="40"/>
      <c r="AH368" s="40"/>
      <c r="AM368" s="41"/>
      <c r="AN368" s="41"/>
      <c r="AP368" s="40"/>
      <c r="AQ368" s="40"/>
    </row>
    <row r="369" spans="1:45">
      <c r="A369" s="42" t="s">
        <v>60</v>
      </c>
      <c r="B369" s="43" t="s">
        <v>85</v>
      </c>
      <c r="C369" s="43" t="s">
        <v>86</v>
      </c>
      <c r="D369" s="43" t="s">
        <v>87</v>
      </c>
      <c r="E369" s="43" t="s">
        <v>22</v>
      </c>
      <c r="F369" s="43" t="s">
        <v>595</v>
      </c>
      <c r="G369" s="43" t="s">
        <v>125</v>
      </c>
      <c r="H369" s="43" t="s">
        <v>88</v>
      </c>
      <c r="I369" s="43" t="s">
        <v>90</v>
      </c>
      <c r="J369" s="43" t="s">
        <v>92</v>
      </c>
      <c r="K369" s="43" t="s">
        <v>93</v>
      </c>
      <c r="L369" s="43" t="s">
        <v>94</v>
      </c>
      <c r="M369" s="43" t="s">
        <v>126</v>
      </c>
      <c r="N369" s="43" t="s">
        <v>95</v>
      </c>
      <c r="O369" s="43" t="s">
        <v>96</v>
      </c>
      <c r="P369" s="43" t="s">
        <v>332</v>
      </c>
      <c r="Q369" s="43" t="s">
        <v>333</v>
      </c>
      <c r="R369" s="43" t="s">
        <v>334</v>
      </c>
      <c r="S369" s="43" t="s">
        <v>335</v>
      </c>
      <c r="T369" s="270"/>
      <c r="U369" s="270"/>
      <c r="V369" s="270"/>
      <c r="W369" s="43" t="s">
        <v>102</v>
      </c>
      <c r="X369" s="43" t="s">
        <v>103</v>
      </c>
      <c r="Y369" s="43" t="s">
        <v>109</v>
      </c>
      <c r="Z369" s="43" t="s">
        <v>110</v>
      </c>
      <c r="AA369" s="43" t="s">
        <v>128</v>
      </c>
      <c r="AB369" s="43" t="s">
        <v>129</v>
      </c>
      <c r="AH369" s="40"/>
      <c r="AJ369" s="41"/>
      <c r="AK369" s="41"/>
      <c r="AL369" s="41"/>
      <c r="AP369" s="40"/>
      <c r="AQ369" s="40"/>
      <c r="AR369" s="41"/>
      <c r="AS369" s="41"/>
    </row>
    <row r="370" spans="1:45">
      <c r="A370" s="541" t="s">
        <v>799</v>
      </c>
      <c r="B370" s="110">
        <f>MATCH(A370,Рекуператоры!B$7:B$2003,0)</f>
        <v>5</v>
      </c>
      <c r="C370" s="111" t="e">
        <f ca="1">OFFSET(Рекуператоры!#REF!,B370-1,0)</f>
        <v>#REF!</v>
      </c>
      <c r="D370" s="111" t="e">
        <f t="shared" ref="D370:D378" ca="1" si="90">RIGHT(C370,LEN(C370)+1-SEARCH("LV-",C370,1))</f>
        <v>#REF!</v>
      </c>
      <c r="E370" s="144" t="e">
        <f ca="1">OFFSET(Рекуператоры!#REF!,B370-1,0)</f>
        <v>#REF!</v>
      </c>
      <c r="F370" s="144" t="s">
        <v>591</v>
      </c>
      <c r="G370" s="337" t="e">
        <f t="shared" ref="G370:G378" si="91">Задача_Расход/$M370/3600</f>
        <v>#REF!</v>
      </c>
      <c r="H370" s="338" t="e">
        <f t="shared" ref="H370:H378" si="92">Задача_Расход*(Задача_Расход*AA370+AB370)</f>
        <v>#REF!</v>
      </c>
      <c r="I370" s="521" t="e">
        <f t="shared" ref="I370:I378" si="93">CONCATENATE($L370,"=",AND(Приток_РекуператорПроверкаРасхода,OR(Задача_Размер=Значение_Авто,$L370=Задача_Размер),G370&gt;=СкоростьMIN_Рекуператор,G370&lt;=СкоростьMAX_Рекуператор))</f>
        <v>#REF!</v>
      </c>
      <c r="J370" s="273">
        <v>400</v>
      </c>
      <c r="K370" s="109">
        <v>200</v>
      </c>
      <c r="L370" s="110" t="str">
        <f>IF(K370&gt;0,CONCATENATE(J370,"x",K370),J370)</f>
        <v>400x200</v>
      </c>
      <c r="M370" s="114">
        <f t="shared" ref="M370:M378" si="94">IF(K370&gt;1,J370*K370,PI()*J370^2/4)/1000000</f>
        <v>0.08</v>
      </c>
      <c r="N370" s="115">
        <v>590</v>
      </c>
      <c r="O370" s="108">
        <v>25</v>
      </c>
      <c r="P370" s="340" t="str">
        <f ca="1">ПП_Рекуператор!Q8</f>
        <v/>
      </c>
      <c r="Q370" s="339" t="str">
        <f ca="1">ПП_Рекуператор!V8</f>
        <v/>
      </c>
      <c r="R370" s="339" t="str">
        <f ca="1">ПП_Рекуператор!S8</f>
        <v/>
      </c>
      <c r="S370" s="339" t="str">
        <f ca="1">ПП_Рекуператор!U8</f>
        <v/>
      </c>
      <c r="T370" s="339"/>
      <c r="U370" s="339"/>
      <c r="V370" s="339"/>
      <c r="W370" s="109">
        <f>ROUND(2*3600*M370,0)</f>
        <v>576</v>
      </c>
      <c r="X370" s="109">
        <f t="shared" ref="X370:X378" si="95">ROUND(4.5*3600*M370,0)</f>
        <v>1296</v>
      </c>
      <c r="Y370" s="109">
        <v>100</v>
      </c>
      <c r="Z370" s="109">
        <v>300</v>
      </c>
      <c r="AA370" s="110">
        <f t="shared" ref="AA370:AA378" si="96">(Y370/W370-Z370/X370)/(W370-X370)</f>
        <v>8.0375514403292195E-5</v>
      </c>
      <c r="AB370" s="116">
        <f t="shared" ref="AB370:AB378" si="97">Y370/W370-AA370*W370</f>
        <v>0.1273148148148148</v>
      </c>
      <c r="AH370" s="40"/>
      <c r="AJ370" s="41"/>
      <c r="AK370" s="41"/>
      <c r="AL370" s="41"/>
      <c r="AP370" s="40"/>
      <c r="AQ370" s="40"/>
      <c r="AR370" s="41"/>
      <c r="AS370" s="41"/>
    </row>
    <row r="371" spans="1:45">
      <c r="A371" s="541" t="s">
        <v>800</v>
      </c>
      <c r="B371" s="110">
        <f>MATCH(A371,Рекуператоры!B$7:B$2003,0)</f>
        <v>6</v>
      </c>
      <c r="C371" s="111" t="e">
        <f ca="1">OFFSET(Рекуператоры!#REF!,B371-1,0)</f>
        <v>#REF!</v>
      </c>
      <c r="D371" s="111" t="e">
        <f t="shared" ca="1" si="90"/>
        <v>#REF!</v>
      </c>
      <c r="E371" s="144" t="e">
        <f ca="1">OFFSET(Рекуператоры!#REF!,B371-1,0)</f>
        <v>#REF!</v>
      </c>
      <c r="F371" s="144" t="s">
        <v>591</v>
      </c>
      <c r="G371" s="337" t="e">
        <f t="shared" si="91"/>
        <v>#REF!</v>
      </c>
      <c r="H371" s="338" t="e">
        <f t="shared" si="92"/>
        <v>#REF!</v>
      </c>
      <c r="I371" s="521" t="e">
        <f t="shared" si="93"/>
        <v>#REF!</v>
      </c>
      <c r="J371" s="273">
        <v>500</v>
      </c>
      <c r="K371" s="109">
        <v>250</v>
      </c>
      <c r="L371" s="110" t="str">
        <f t="shared" ref="L371:L378" si="98">IF(K371&gt;0,CONCATENATE(J371,"x",K371),J371)</f>
        <v>500x250</v>
      </c>
      <c r="M371" s="114">
        <f t="shared" si="94"/>
        <v>0.125</v>
      </c>
      <c r="N371" s="115">
        <v>700</v>
      </c>
      <c r="O371" s="108">
        <v>35</v>
      </c>
      <c r="P371" s="339" t="str">
        <f ca="1">ПП_Рекуператор!Q9</f>
        <v/>
      </c>
      <c r="Q371" s="339" t="str">
        <f ca="1">ПП_Рекуператор!V9</f>
        <v/>
      </c>
      <c r="R371" s="339" t="str">
        <f ca="1">ПП_Рекуператор!S9</f>
        <v/>
      </c>
      <c r="S371" s="339" t="str">
        <f ca="1">ПП_Рекуператор!U9</f>
        <v/>
      </c>
      <c r="T371" s="339"/>
      <c r="U371" s="339"/>
      <c r="V371" s="339"/>
      <c r="W371" s="109">
        <f>ROUND(2*3600*M371,0)</f>
        <v>900</v>
      </c>
      <c r="X371" s="109">
        <f t="shared" si="95"/>
        <v>2025</v>
      </c>
      <c r="Y371" s="109">
        <v>100</v>
      </c>
      <c r="Z371" s="109">
        <v>300</v>
      </c>
      <c r="AA371" s="110">
        <f t="shared" si="96"/>
        <v>3.2921810699588473E-5</v>
      </c>
      <c r="AB371" s="116">
        <f t="shared" si="97"/>
        <v>8.1481481481481474E-2</v>
      </c>
      <c r="AH371" s="40"/>
      <c r="AJ371" s="41"/>
      <c r="AK371" s="41"/>
      <c r="AL371" s="41"/>
      <c r="AP371" s="40"/>
      <c r="AQ371" s="40"/>
      <c r="AR371" s="41"/>
      <c r="AS371" s="41"/>
    </row>
    <row r="372" spans="1:45">
      <c r="A372" s="541" t="s">
        <v>801</v>
      </c>
      <c r="B372" s="110">
        <f>MATCH(A372,Рекуператоры!B$7:B$2003,0)</f>
        <v>7</v>
      </c>
      <c r="C372" s="111" t="e">
        <f ca="1">OFFSET(Рекуператоры!#REF!,B372-1,0)</f>
        <v>#REF!</v>
      </c>
      <c r="D372" s="111" t="e">
        <f t="shared" ca="1" si="90"/>
        <v>#REF!</v>
      </c>
      <c r="E372" s="144" t="e">
        <f ca="1">OFFSET(Рекуператоры!#REF!,B372-1,0)</f>
        <v>#REF!</v>
      </c>
      <c r="F372" s="144" t="s">
        <v>591</v>
      </c>
      <c r="G372" s="337" t="e">
        <f t="shared" si="91"/>
        <v>#REF!</v>
      </c>
      <c r="H372" s="338" t="e">
        <f t="shared" si="92"/>
        <v>#REF!</v>
      </c>
      <c r="I372" s="521" t="e">
        <f t="shared" si="93"/>
        <v>#REF!</v>
      </c>
      <c r="J372" s="273">
        <v>500</v>
      </c>
      <c r="K372" s="109">
        <v>300</v>
      </c>
      <c r="L372" s="110" t="str">
        <f t="shared" si="98"/>
        <v>500x300</v>
      </c>
      <c r="M372" s="114">
        <f t="shared" si="94"/>
        <v>0.15</v>
      </c>
      <c r="N372" s="115">
        <v>700</v>
      </c>
      <c r="O372" s="108">
        <v>36</v>
      </c>
      <c r="P372" s="339" t="str">
        <f ca="1">ПП_Рекуператор!Q10</f>
        <v/>
      </c>
      <c r="Q372" s="339" t="str">
        <f ca="1">ПП_Рекуператор!V10</f>
        <v/>
      </c>
      <c r="R372" s="339" t="str">
        <f ca="1">ПП_Рекуператор!S10</f>
        <v/>
      </c>
      <c r="S372" s="339" t="str">
        <f ca="1">ПП_Рекуператор!U10</f>
        <v/>
      </c>
      <c r="T372" s="339"/>
      <c r="U372" s="339"/>
      <c r="V372" s="339"/>
      <c r="W372" s="109">
        <f>ROUND(2*3600*M372,0)</f>
        <v>1080</v>
      </c>
      <c r="X372" s="109">
        <f t="shared" si="95"/>
        <v>2430</v>
      </c>
      <c r="Y372" s="109">
        <v>100</v>
      </c>
      <c r="Z372" s="109">
        <v>300</v>
      </c>
      <c r="AA372" s="110">
        <f t="shared" si="96"/>
        <v>2.2862368541380887E-5</v>
      </c>
      <c r="AB372" s="116">
        <f t="shared" si="97"/>
        <v>6.7901234567901231E-2</v>
      </c>
      <c r="AH372" s="40"/>
      <c r="AJ372" s="41"/>
      <c r="AK372" s="41"/>
      <c r="AL372" s="41"/>
      <c r="AP372" s="40"/>
      <c r="AQ372" s="40"/>
      <c r="AR372" s="41"/>
      <c r="AS372" s="41"/>
    </row>
    <row r="373" spans="1:45">
      <c r="A373" s="541" t="s">
        <v>802</v>
      </c>
      <c r="B373" s="110">
        <f>MATCH(A373,Рекуператоры!B$7:B$2003,0)</f>
        <v>8</v>
      </c>
      <c r="C373" s="111" t="e">
        <f ca="1">OFFSET(Рекуператоры!#REF!,B373-1,0)</f>
        <v>#REF!</v>
      </c>
      <c r="D373" s="111" t="e">
        <f t="shared" ca="1" si="90"/>
        <v>#REF!</v>
      </c>
      <c r="E373" s="144" t="e">
        <f ca="1">OFFSET(Рекуператоры!#REF!,B373-1,0)</f>
        <v>#REF!</v>
      </c>
      <c r="F373" s="144" t="s">
        <v>591</v>
      </c>
      <c r="G373" s="337" t="e">
        <f t="shared" si="91"/>
        <v>#REF!</v>
      </c>
      <c r="H373" s="338" t="e">
        <f t="shared" si="92"/>
        <v>#REF!</v>
      </c>
      <c r="I373" s="521" t="e">
        <f t="shared" si="93"/>
        <v>#REF!</v>
      </c>
      <c r="J373" s="273">
        <v>600</v>
      </c>
      <c r="K373" s="109">
        <v>300</v>
      </c>
      <c r="L373" s="110" t="str">
        <f t="shared" si="98"/>
        <v>600x300</v>
      </c>
      <c r="M373" s="114">
        <f t="shared" si="94"/>
        <v>0.18</v>
      </c>
      <c r="N373" s="115">
        <v>800</v>
      </c>
      <c r="O373" s="108">
        <v>45</v>
      </c>
      <c r="P373" s="339" t="str">
        <f ca="1">ПП_Рекуператор!Q11</f>
        <v/>
      </c>
      <c r="Q373" s="339" t="str">
        <f ca="1">ПП_Рекуператор!V11</f>
        <v/>
      </c>
      <c r="R373" s="339" t="str">
        <f ca="1">ПП_Рекуператор!S11</f>
        <v/>
      </c>
      <c r="S373" s="339" t="str">
        <f ca="1">ПП_Рекуператор!U11</f>
        <v/>
      </c>
      <c r="T373" s="339"/>
      <c r="U373" s="339"/>
      <c r="V373" s="339"/>
      <c r="W373" s="109">
        <f>ROUND(2*3600*M373,0)</f>
        <v>1296</v>
      </c>
      <c r="X373" s="109">
        <f t="shared" si="95"/>
        <v>2916</v>
      </c>
      <c r="Y373" s="109">
        <v>100</v>
      </c>
      <c r="Z373" s="109">
        <v>300</v>
      </c>
      <c r="AA373" s="110">
        <f t="shared" si="96"/>
        <v>1.5876644820403397E-5</v>
      </c>
      <c r="AB373" s="116">
        <f t="shared" si="97"/>
        <v>5.6584362139917688E-2</v>
      </c>
      <c r="AH373" s="40"/>
      <c r="AJ373" s="41"/>
      <c r="AK373" s="41"/>
      <c r="AL373" s="41"/>
      <c r="AP373" s="40"/>
      <c r="AQ373" s="40"/>
      <c r="AR373" s="41"/>
      <c r="AS373" s="41"/>
    </row>
    <row r="374" spans="1:45">
      <c r="A374" s="541" t="s">
        <v>803</v>
      </c>
      <c r="B374" s="110">
        <f>MATCH(A374,Рекуператоры!B$7:B$2003,0)</f>
        <v>9</v>
      </c>
      <c r="C374" s="111" t="e">
        <f ca="1">OFFSET(Рекуператоры!#REF!,B374-1,0)</f>
        <v>#REF!</v>
      </c>
      <c r="D374" s="111" t="e">
        <f t="shared" ca="1" si="90"/>
        <v>#REF!</v>
      </c>
      <c r="E374" s="144" t="e">
        <f ca="1">OFFSET(Рекуператоры!#REF!,B374-1,0)</f>
        <v>#REF!</v>
      </c>
      <c r="F374" s="144" t="s">
        <v>591</v>
      </c>
      <c r="G374" s="337" t="e">
        <f t="shared" si="91"/>
        <v>#REF!</v>
      </c>
      <c r="H374" s="338" t="e">
        <f t="shared" si="92"/>
        <v>#REF!</v>
      </c>
      <c r="I374" s="521" t="e">
        <f t="shared" si="93"/>
        <v>#REF!</v>
      </c>
      <c r="J374" s="273">
        <v>600</v>
      </c>
      <c r="K374" s="109">
        <v>350</v>
      </c>
      <c r="L374" s="110" t="str">
        <f t="shared" si="98"/>
        <v>600x350</v>
      </c>
      <c r="M374" s="114">
        <f t="shared" si="94"/>
        <v>0.21</v>
      </c>
      <c r="N374" s="115">
        <v>800</v>
      </c>
      <c r="O374" s="108">
        <v>47</v>
      </c>
      <c r="P374" s="339" t="str">
        <f ca="1">ПП_Рекуператор!Q12</f>
        <v/>
      </c>
      <c r="Q374" s="339" t="str">
        <f ca="1">ПП_Рекуператор!V12</f>
        <v/>
      </c>
      <c r="R374" s="339" t="str">
        <f ca="1">ПП_Рекуператор!S12</f>
        <v/>
      </c>
      <c r="S374" s="339" t="str">
        <f ca="1">ПП_Рекуператор!U12</f>
        <v/>
      </c>
      <c r="T374" s="339"/>
      <c r="U374" s="339"/>
      <c r="V374" s="339"/>
      <c r="W374" s="109">
        <f>ROUND(2.5*3600*M374,0)</f>
        <v>1890</v>
      </c>
      <c r="X374" s="109">
        <f t="shared" si="95"/>
        <v>3402</v>
      </c>
      <c r="Y374" s="109">
        <v>75</v>
      </c>
      <c r="Z374" s="109">
        <v>225</v>
      </c>
      <c r="AA374" s="110">
        <f t="shared" si="96"/>
        <v>1.7496710618403741E-5</v>
      </c>
      <c r="AB374" s="116">
        <f t="shared" si="97"/>
        <v>6.6137566137566134E-3</v>
      </c>
      <c r="AH374" s="40"/>
      <c r="AJ374" s="41"/>
      <c r="AK374" s="41"/>
      <c r="AL374" s="41"/>
      <c r="AP374" s="40"/>
      <c r="AQ374" s="40"/>
      <c r="AR374" s="41"/>
      <c r="AS374" s="41"/>
    </row>
    <row r="375" spans="1:45">
      <c r="A375" s="541" t="s">
        <v>804</v>
      </c>
      <c r="B375" s="110">
        <f>MATCH(A375,Рекуператоры!B$7:B$2003,0)</f>
        <v>10</v>
      </c>
      <c r="C375" s="111" t="e">
        <f ca="1">OFFSET(Рекуператоры!#REF!,B375-1,0)</f>
        <v>#REF!</v>
      </c>
      <c r="D375" s="111" t="e">
        <f t="shared" ca="1" si="90"/>
        <v>#REF!</v>
      </c>
      <c r="E375" s="144" t="e">
        <f ca="1">OFFSET(Рекуператоры!#REF!,B375-1,0)</f>
        <v>#REF!</v>
      </c>
      <c r="F375" s="144" t="s">
        <v>591</v>
      </c>
      <c r="G375" s="337" t="e">
        <f t="shared" si="91"/>
        <v>#REF!</v>
      </c>
      <c r="H375" s="338" t="e">
        <f t="shared" si="92"/>
        <v>#REF!</v>
      </c>
      <c r="I375" s="521" t="e">
        <f t="shared" si="93"/>
        <v>#REF!</v>
      </c>
      <c r="J375" s="273">
        <v>700</v>
      </c>
      <c r="K375" s="109">
        <v>400</v>
      </c>
      <c r="L375" s="110" t="str">
        <f t="shared" si="98"/>
        <v>700x400</v>
      </c>
      <c r="M375" s="114">
        <f t="shared" si="94"/>
        <v>0.28000000000000003</v>
      </c>
      <c r="N375" s="115">
        <v>900</v>
      </c>
      <c r="O375" s="108">
        <v>63</v>
      </c>
      <c r="P375" s="339" t="str">
        <f ca="1">ПП_Рекуператор!Q13</f>
        <v/>
      </c>
      <c r="Q375" s="339" t="str">
        <f ca="1">ПП_Рекуператор!V13</f>
        <v/>
      </c>
      <c r="R375" s="339" t="str">
        <f ca="1">ПП_Рекуператор!S13</f>
        <v/>
      </c>
      <c r="S375" s="339" t="str">
        <f ca="1">ПП_Рекуператор!U13</f>
        <v/>
      </c>
      <c r="T375" s="339"/>
      <c r="U375" s="339"/>
      <c r="V375" s="339"/>
      <c r="W375" s="109">
        <f>ROUND(2.5*3600*M375,0)</f>
        <v>2520</v>
      </c>
      <c r="X375" s="109">
        <f t="shared" si="95"/>
        <v>4536</v>
      </c>
      <c r="Y375" s="109">
        <v>75</v>
      </c>
      <c r="Z375" s="109">
        <v>225</v>
      </c>
      <c r="AA375" s="110">
        <f t="shared" si="96"/>
        <v>9.8418997228521035E-6</v>
      </c>
      <c r="AB375" s="116">
        <f t="shared" si="97"/>
        <v>4.96031746031746E-3</v>
      </c>
      <c r="AH375" s="40"/>
      <c r="AJ375" s="41"/>
      <c r="AK375" s="41"/>
      <c r="AL375" s="41"/>
      <c r="AP375" s="40"/>
      <c r="AQ375" s="40"/>
      <c r="AR375" s="41"/>
      <c r="AS375" s="41"/>
    </row>
    <row r="376" spans="1:45">
      <c r="A376" s="541" t="s">
        <v>805</v>
      </c>
      <c r="B376" s="110">
        <f>MATCH(A376,Рекуператоры!B$7:B$2003,0)</f>
        <v>11</v>
      </c>
      <c r="C376" s="111" t="e">
        <f ca="1">OFFSET(Рекуператоры!#REF!,B376-1,0)</f>
        <v>#REF!</v>
      </c>
      <c r="D376" s="111" t="e">
        <f t="shared" ca="1" si="90"/>
        <v>#REF!</v>
      </c>
      <c r="E376" s="144" t="e">
        <f ca="1">OFFSET(Рекуператоры!#REF!,B376-1,0)</f>
        <v>#REF!</v>
      </c>
      <c r="F376" s="144" t="s">
        <v>591</v>
      </c>
      <c r="G376" s="337" t="e">
        <f t="shared" si="91"/>
        <v>#REF!</v>
      </c>
      <c r="H376" s="338" t="e">
        <f t="shared" si="92"/>
        <v>#REF!</v>
      </c>
      <c r="I376" s="521" t="e">
        <f t="shared" si="93"/>
        <v>#REF!</v>
      </c>
      <c r="J376" s="109">
        <v>800</v>
      </c>
      <c r="K376" s="109">
        <v>500</v>
      </c>
      <c r="L376" s="110" t="str">
        <f t="shared" si="98"/>
        <v>800x500</v>
      </c>
      <c r="M376" s="114">
        <f t="shared" si="94"/>
        <v>0.4</v>
      </c>
      <c r="N376" s="115">
        <v>1000</v>
      </c>
      <c r="O376" s="108">
        <v>82</v>
      </c>
      <c r="P376" s="339" t="str">
        <f ca="1">ПП_Рекуператор!Q14</f>
        <v/>
      </c>
      <c r="Q376" s="339" t="str">
        <f ca="1">ПП_Рекуператор!V14</f>
        <v/>
      </c>
      <c r="R376" s="339" t="str">
        <f ca="1">ПП_Рекуператор!S14</f>
        <v/>
      </c>
      <c r="S376" s="339" t="str">
        <f ca="1">ПП_Рекуператор!U14</f>
        <v/>
      </c>
      <c r="T376" s="339"/>
      <c r="U376" s="339"/>
      <c r="V376" s="339"/>
      <c r="W376" s="109">
        <f>ROUND(2.5*3600*M376,0)</f>
        <v>3600</v>
      </c>
      <c r="X376" s="109">
        <f t="shared" si="95"/>
        <v>6480</v>
      </c>
      <c r="Y376" s="109">
        <v>75</v>
      </c>
      <c r="Z376" s="109">
        <v>225</v>
      </c>
      <c r="AA376" s="110">
        <f t="shared" si="96"/>
        <v>4.8225308641975316E-6</v>
      </c>
      <c r="AB376" s="116">
        <f t="shared" si="97"/>
        <v>3.4722222222222168E-3</v>
      </c>
      <c r="AH376" s="40"/>
      <c r="AJ376" s="41"/>
      <c r="AK376" s="41"/>
      <c r="AL376" s="41"/>
      <c r="AP376" s="40"/>
      <c r="AQ376" s="40"/>
      <c r="AR376" s="41"/>
      <c r="AS376" s="41"/>
    </row>
    <row r="377" spans="1:45">
      <c r="A377" s="541" t="s">
        <v>806</v>
      </c>
      <c r="B377" s="110">
        <f>MATCH(A377,Рекуператоры!B$7:B$2003,0)</f>
        <v>12</v>
      </c>
      <c r="C377" s="111" t="e">
        <f ca="1">OFFSET(Рекуператоры!#REF!,B377-1,0)</f>
        <v>#REF!</v>
      </c>
      <c r="D377" s="111" t="e">
        <f t="shared" ca="1" si="90"/>
        <v>#REF!</v>
      </c>
      <c r="E377" s="144" t="e">
        <f ca="1">OFFSET(Рекуператоры!#REF!,B377-1,0)</f>
        <v>#REF!</v>
      </c>
      <c r="F377" s="144" t="s">
        <v>591</v>
      </c>
      <c r="G377" s="337" t="e">
        <f t="shared" si="91"/>
        <v>#REF!</v>
      </c>
      <c r="H377" s="338" t="e">
        <f t="shared" si="92"/>
        <v>#REF!</v>
      </c>
      <c r="I377" s="521" t="e">
        <f t="shared" si="93"/>
        <v>#REF!</v>
      </c>
      <c r="J377" s="273">
        <v>900</v>
      </c>
      <c r="K377" s="109">
        <v>500</v>
      </c>
      <c r="L377" s="110" t="str">
        <f t="shared" si="98"/>
        <v>900x500</v>
      </c>
      <c r="M377" s="114">
        <f t="shared" si="94"/>
        <v>0.45</v>
      </c>
      <c r="N377" s="115">
        <v>1100</v>
      </c>
      <c r="O377" s="108">
        <v>90</v>
      </c>
      <c r="P377" s="339" t="str">
        <f ca="1">ПП_Рекуператор!Q15</f>
        <v/>
      </c>
      <c r="Q377" s="339" t="str">
        <f ca="1">ПП_Рекуператор!V15</f>
        <v/>
      </c>
      <c r="R377" s="339" t="str">
        <f ca="1">ПП_Рекуператор!S15</f>
        <v/>
      </c>
      <c r="S377" s="339" t="str">
        <f ca="1">ПП_Рекуператор!U15</f>
        <v/>
      </c>
      <c r="T377" s="339"/>
      <c r="U377" s="339"/>
      <c r="V377" s="339"/>
      <c r="W377" s="109">
        <f>ROUND(1.5*3600*M377,0)</f>
        <v>2430</v>
      </c>
      <c r="X377" s="109">
        <f t="shared" si="95"/>
        <v>7290</v>
      </c>
      <c r="Y377" s="109">
        <v>50</v>
      </c>
      <c r="Z377" s="109">
        <v>275</v>
      </c>
      <c r="AA377" s="110">
        <f t="shared" si="96"/>
        <v>3.5281432934229756E-6</v>
      </c>
      <c r="AB377" s="116">
        <f t="shared" si="97"/>
        <v>1.2002743484224967E-2</v>
      </c>
      <c r="AH377" s="40"/>
      <c r="AJ377" s="41"/>
      <c r="AK377" s="41"/>
      <c r="AL377" s="41"/>
      <c r="AP377" s="40"/>
      <c r="AQ377" s="40"/>
      <c r="AR377" s="41"/>
      <c r="AS377" s="41"/>
    </row>
    <row r="378" spans="1:45">
      <c r="A378" s="541" t="s">
        <v>807</v>
      </c>
      <c r="B378" s="110">
        <f>MATCH(A378,Рекуператоры!B$7:B$2003,0)</f>
        <v>13</v>
      </c>
      <c r="C378" s="111" t="e">
        <f ca="1">OFFSET(Рекуператоры!#REF!,B378-1,0)</f>
        <v>#REF!</v>
      </c>
      <c r="D378" s="111" t="e">
        <f t="shared" ca="1" si="90"/>
        <v>#REF!</v>
      </c>
      <c r="E378" s="144" t="e">
        <f ca="1">OFFSET(Рекуператоры!#REF!,B378-1,0)</f>
        <v>#REF!</v>
      </c>
      <c r="F378" s="144" t="s">
        <v>591</v>
      </c>
      <c r="G378" s="337" t="e">
        <f t="shared" si="91"/>
        <v>#REF!</v>
      </c>
      <c r="H378" s="338" t="e">
        <f t="shared" si="92"/>
        <v>#REF!</v>
      </c>
      <c r="I378" s="521" t="e">
        <f t="shared" si="93"/>
        <v>#REF!</v>
      </c>
      <c r="J378" s="109">
        <v>1000</v>
      </c>
      <c r="K378" s="109">
        <v>500</v>
      </c>
      <c r="L378" s="110" t="str">
        <f t="shared" si="98"/>
        <v>1000x500</v>
      </c>
      <c r="M378" s="114">
        <f t="shared" si="94"/>
        <v>0.5</v>
      </c>
      <c r="N378" s="115">
        <v>1200</v>
      </c>
      <c r="O378" s="108">
        <v>99</v>
      </c>
      <c r="P378" s="339" t="str">
        <f>ПП_Рекуператор!Q16</f>
        <v/>
      </c>
      <c r="Q378" s="339" t="str">
        <f>ПП_Рекуператор!V16</f>
        <v/>
      </c>
      <c r="R378" s="339" t="str">
        <f>ПП_Рекуператор!S16</f>
        <v/>
      </c>
      <c r="S378" s="339" t="str">
        <f>ПП_Рекуператор!U16</f>
        <v/>
      </c>
      <c r="T378" s="339"/>
      <c r="U378" s="339"/>
      <c r="V378" s="339"/>
      <c r="W378" s="109">
        <f>ROUND(2.5*3600*M378,0)</f>
        <v>4500</v>
      </c>
      <c r="X378" s="109">
        <f t="shared" si="95"/>
        <v>8100</v>
      </c>
      <c r="Y378" s="109">
        <v>75</v>
      </c>
      <c r="Z378" s="109">
        <v>225</v>
      </c>
      <c r="AA378" s="110">
        <f t="shared" si="96"/>
        <v>3.0864197530864196E-6</v>
      </c>
      <c r="AB378" s="116">
        <f t="shared" si="97"/>
        <v>2.7777777777777783E-3</v>
      </c>
      <c r="AH378" s="40"/>
      <c r="AJ378" s="41"/>
      <c r="AK378" s="41"/>
      <c r="AL378" s="41"/>
      <c r="AP378" s="40"/>
      <c r="AQ378" s="40"/>
      <c r="AR378" s="41"/>
      <c r="AS378" s="41"/>
    </row>
  </sheetData>
  <sortState ref="A3:AT41">
    <sortCondition ref="E13:E19"/>
  </sortState>
  <customSheetViews>
    <customSheetView guid="{0C99ABE2-728B-4C30-A993-CD651C64FAAE}" showGridLines="0" state="hidden" topLeftCell="A194">
      <pane xSplit="3.269767441860465" topLeftCell="E1" activePane="topRight" state="frozen"/>
      <selection pane="topRight" activeCell="A212" sqref="A212"/>
      <pageMargins left="0.7" right="0.7" top="0.75" bottom="0.75" header="0.3" footer="0.3"/>
      <pageSetup paperSize="9" orientation="portrait" r:id="rId1"/>
    </customSheetView>
    <customSheetView guid="{2BA56ECA-30F6-456D-AB26-04DD1698A098}" showGridLines="0" state="hidden" topLeftCell="A194">
      <pane xSplit="4" topLeftCell="E1" activePane="topRight" state="frozen"/>
      <selection pane="topRight" activeCell="A212" sqref="A212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141</vt:i4>
      </vt:variant>
    </vt:vector>
  </HeadingPairs>
  <TitlesOfParts>
    <vt:vector size="164" baseType="lpstr">
      <vt:lpstr>Оглавление</vt:lpstr>
      <vt:lpstr>История</vt:lpstr>
      <vt:lpstr>Гиперссылки</vt:lpstr>
      <vt:lpstr>WEB_UPDATE</vt:lpstr>
      <vt:lpstr>Данные</vt:lpstr>
      <vt:lpstr>ПП_Свод</vt:lpstr>
      <vt:lpstr>ПП_Предложение</vt:lpstr>
      <vt:lpstr>ПП_Расчет</vt:lpstr>
      <vt:lpstr>ПП_Оборудование</vt:lpstr>
      <vt:lpstr>ПП_ГрафПриток</vt:lpstr>
      <vt:lpstr>ПП_Рекуператор</vt:lpstr>
      <vt:lpstr>ПП_Нагреватель</vt:lpstr>
      <vt:lpstr>ПП_Охладитель</vt:lpstr>
      <vt:lpstr>Параметры</vt:lpstr>
      <vt:lpstr>Компактные установки</vt:lpstr>
      <vt:lpstr>Вентиляторы</vt:lpstr>
      <vt:lpstr>Принадлежности</vt:lpstr>
      <vt:lpstr>Нагреватели</vt:lpstr>
      <vt:lpstr>Охладители</vt:lpstr>
      <vt:lpstr>Рекуператоры</vt:lpstr>
      <vt:lpstr>Фильтры</vt:lpstr>
      <vt:lpstr>Заслонки</vt:lpstr>
      <vt:lpstr>Шумоглушители</vt:lpstr>
      <vt:lpstr>WEB_UPDATE!pubhtml?gid_0_single_true</vt:lpstr>
      <vt:lpstr>WEB_CONNECT</vt:lpstr>
      <vt:lpstr>WEB_DATE</vt:lpstr>
      <vt:lpstr>WEB_RANGE</vt:lpstr>
      <vt:lpstr>WEB_UPDATE</vt:lpstr>
      <vt:lpstr>WEB_URL</vt:lpstr>
      <vt:lpstr>WEB_VERSION</vt:lpstr>
      <vt:lpstr>Задача_Вентилятор</vt:lpstr>
      <vt:lpstr>Задача_ВентиляторEC</vt:lpstr>
      <vt:lpstr>Задача_ВентиляторГибкиеВставки</vt:lpstr>
      <vt:lpstr>Задача_ВентиляторШумоизоляция</vt:lpstr>
      <vt:lpstr>Задача_Заслонка</vt:lpstr>
      <vt:lpstr>Задача_ЗаслонкаТип</vt:lpstr>
      <vt:lpstr>Задача_Нагреватель</vt:lpstr>
      <vt:lpstr>Задача_НагревательЗапасМощности</vt:lpstr>
      <vt:lpstr>Задача_НагревательИсточникТемпер</vt:lpstr>
      <vt:lpstr>Задача_НагревательИсточникТемперТекст</vt:lpstr>
      <vt:lpstr>Задача_НагревательТеплоноситель</vt:lpstr>
      <vt:lpstr>Задача_НагревательТип</vt:lpstr>
      <vt:lpstr>Задача_НагревательТипТекст</vt:lpstr>
      <vt:lpstr>Задача_ПроизводительЛюбой</vt:lpstr>
      <vt:lpstr>Задача_РазмерОшибка</vt:lpstr>
      <vt:lpstr>Задача_РазмерСписок</vt:lpstr>
      <vt:lpstr>Задача_Рекуператор</vt:lpstr>
      <vt:lpstr>Задача_ТемператураПомещенияЗима</vt:lpstr>
      <vt:lpstr>Задача_ТемпратураНаружная</vt:lpstr>
      <vt:lpstr>Задача_Тип</vt:lpstr>
      <vt:lpstr>Задача_ТипКод</vt:lpstr>
      <vt:lpstr>Задача_ТипСокр</vt:lpstr>
      <vt:lpstr>Задача_ТипТекст</vt:lpstr>
      <vt:lpstr>Задача_Фильтр</vt:lpstr>
      <vt:lpstr>Задача_ФильтрТип</vt:lpstr>
      <vt:lpstr>Задача_Шумоглушитель</vt:lpstr>
      <vt:lpstr>Задача_ШумоглушительДлина</vt:lpstr>
      <vt:lpstr>Значение_NA</vt:lpstr>
      <vt:lpstr>Значение_Авто</vt:lpstr>
      <vt:lpstr>Значение_ВСоставеУстановки</vt:lpstr>
      <vt:lpstr>Значение_НД</vt:lpstr>
      <vt:lpstr>Курс_EUR</vt:lpstr>
      <vt:lpstr>Курс_RUB</vt:lpstr>
      <vt:lpstr>Курс_USD</vt:lpstr>
      <vt:lpstr>Вентиляторы!Область_печати</vt:lpstr>
      <vt:lpstr>Заслонки!Область_печати</vt:lpstr>
      <vt:lpstr>'Компактные установки'!Область_печати</vt:lpstr>
      <vt:lpstr>Нагреватели!Область_печати</vt:lpstr>
      <vt:lpstr>Оглавление!Область_печати</vt:lpstr>
      <vt:lpstr>Охладители!Область_печати</vt:lpstr>
      <vt:lpstr>Принадлежности!Область_печати</vt:lpstr>
      <vt:lpstr>Рекуператоры!Область_печати</vt:lpstr>
      <vt:lpstr>Фильтры!Область_печати</vt:lpstr>
      <vt:lpstr>Шумоглушители!Область_печати</vt:lpstr>
      <vt:lpstr>Оборудование_Вентиляторы</vt:lpstr>
      <vt:lpstr>Оборудование_ГибкиеВставки</vt:lpstr>
      <vt:lpstr>Оборудование_Заслонки</vt:lpstr>
      <vt:lpstr>Оборудование_ЗаслонкиПроверка</vt:lpstr>
      <vt:lpstr>Оборудование_Нагреватели</vt:lpstr>
      <vt:lpstr>Оборудование_РегуляторыСкорости</vt:lpstr>
      <vt:lpstr>Оборудование_Рекуператоры</vt:lpstr>
      <vt:lpstr>Оборудование_Фильтры</vt:lpstr>
      <vt:lpstr>Оборудование_ФильтрыПроверка</vt:lpstr>
      <vt:lpstr>Оборудование_Шумоглушители</vt:lpstr>
      <vt:lpstr>Оборудование_ШумоглушителиПроверка</vt:lpstr>
      <vt:lpstr>Ошибка_НесовместныйПодбор</vt:lpstr>
      <vt:lpstr>Ошибка_ПодборНевозможен</vt:lpstr>
      <vt:lpstr>Прайс_Версия</vt:lpstr>
      <vt:lpstr>Прайс_Дата</vt:lpstr>
      <vt:lpstr>Приток_ВентиляторАвтоматика</vt:lpstr>
      <vt:lpstr>Приток_ВентиляторАвтоматикаРезультат</vt:lpstr>
      <vt:lpstr>Приток_ВентиляторГибкиеВставкиРезультат</vt:lpstr>
      <vt:lpstr>Приток_ВесВсего</vt:lpstr>
      <vt:lpstr>Приток_ДлинаВсего</vt:lpstr>
      <vt:lpstr>Приток_РекуператорПроверкаРасхода</vt:lpstr>
      <vt:lpstr>Производитель_Европа</vt:lpstr>
      <vt:lpstr>Производитель_Россия</vt:lpstr>
      <vt:lpstr>Расчет_ВентиляторВариант</vt:lpstr>
      <vt:lpstr>Расчет_ВентиляторВарианты1</vt:lpstr>
      <vt:lpstr>Расчет_ВентиляторВарианты2</vt:lpstr>
      <vt:lpstr>Расчет_ВентиляторВарианты3</vt:lpstr>
      <vt:lpstr>Расчет_ВентиляторВарианты4</vt:lpstr>
      <vt:lpstr>Расчет_ВентиляторВарианты5</vt:lpstr>
      <vt:lpstr>Расчет_ВентиляторРезультат</vt:lpstr>
      <vt:lpstr>Расчет_ВентиляторРезультатИсточникОшибки</vt:lpstr>
      <vt:lpstr>Расчет_ЗаслонкаРезультат</vt:lpstr>
      <vt:lpstr>Расчет_ЗаслонкаРезультатИсточникОшибки</vt:lpstr>
      <vt:lpstr>Расчет_НагревательМаксимальнаяТемпература</vt:lpstr>
      <vt:lpstr>Расчет_НагревательРасчетнаяМощность</vt:lpstr>
      <vt:lpstr>Расчет_НагревательРезультат</vt:lpstr>
      <vt:lpstr>Расчет_НагревательРезультатИсточникОшибки</vt:lpstr>
      <vt:lpstr>Расчет_НагревательРезультатПолнаяМощность</vt:lpstr>
      <vt:lpstr>Расчет_НагревательТемператураВход</vt:lpstr>
      <vt:lpstr>Расчет_НапорПриток</vt:lpstr>
      <vt:lpstr>Расчет_РасходПриток</vt:lpstr>
      <vt:lpstr>Расчет_Результат</vt:lpstr>
      <vt:lpstr>Расчет_РезультатРазмер</vt:lpstr>
      <vt:lpstr>Расчет_РезультатТипоразмер</vt:lpstr>
      <vt:lpstr>Расчет_РекуператорРезультат</vt:lpstr>
      <vt:lpstr>Расчет_РекуператорРезультатИсточникОшибки</vt:lpstr>
      <vt:lpstr>Расчет_ФильтрРезультат</vt:lpstr>
      <vt:lpstr>Расчет_ФильтрРезультатИсточникОшибки</vt:lpstr>
      <vt:lpstr>Расчет_ШумоглушительРезультат</vt:lpstr>
      <vt:lpstr>Расчет_ШумоглушительРезультатИсточникОшибки</vt:lpstr>
      <vt:lpstr>Рекуператор_пропорция</vt:lpstr>
      <vt:lpstr>Система_Тип</vt:lpstr>
      <vt:lpstr>Система_ТипКод</vt:lpstr>
      <vt:lpstr>Система_ТипТекст</vt:lpstr>
      <vt:lpstr>СкоростьMAX_Заслонка</vt:lpstr>
      <vt:lpstr>СкоростьMAX_НагревательВодяной</vt:lpstr>
      <vt:lpstr>СкоростьMAX_НагревательЭлектрический</vt:lpstr>
      <vt:lpstr>СкоростьMAX_Рекуператор</vt:lpstr>
      <vt:lpstr>СкоростьMAX_Фильтр</vt:lpstr>
      <vt:lpstr>СкоростьMAX_Шумоглушитель</vt:lpstr>
      <vt:lpstr>СкоростьMIN_Заслонка</vt:lpstr>
      <vt:lpstr>СкоростьMIN_НагревательВодяной</vt:lpstr>
      <vt:lpstr>СкоростьMIN_НагревательЭлектрический</vt:lpstr>
      <vt:lpstr>СкоростьMIN_Рекуператор</vt:lpstr>
      <vt:lpstr>СкоростьMIN_Фильтр</vt:lpstr>
      <vt:lpstr>СкоростьMIN_Шумоглушитель</vt:lpstr>
      <vt:lpstr>Список_АвтоматикаВентилятора</vt:lpstr>
      <vt:lpstr>Список_АвтоматикаЗаслонки</vt:lpstr>
      <vt:lpstr>Список_АвтоматикаФильтра</vt:lpstr>
      <vt:lpstr>Список_Двигатель</vt:lpstr>
      <vt:lpstr>Список_ДлинаГлушителя</vt:lpstr>
      <vt:lpstr>Список_КлиматическаяЗона</vt:lpstr>
      <vt:lpstr>Список_Корпус</vt:lpstr>
      <vt:lpstr>Список_Производитель</vt:lpstr>
      <vt:lpstr>Список_Размер_COMPACT_H</vt:lpstr>
      <vt:lpstr>Список_Размер_COMPACT_P</vt:lpstr>
      <vt:lpstr>Список_Размер_COMPACT_S</vt:lpstr>
      <vt:lpstr>Список_Размер_COMPACT_V</vt:lpstr>
      <vt:lpstr>Список_Размер_DUCT_C</vt:lpstr>
      <vt:lpstr>Список_Размер_DUCT_T</vt:lpstr>
      <vt:lpstr>Список_Размер_KITCHEN</vt:lpstr>
      <vt:lpstr>Список_Размер_ROOF</vt:lpstr>
      <vt:lpstr>Список_РазмерВытяжка</vt:lpstr>
      <vt:lpstr>Список_РазмерПриток</vt:lpstr>
      <vt:lpstr>Список_Регион</vt:lpstr>
      <vt:lpstr>Список_ТемператураВходаНагревателя</vt:lpstr>
      <vt:lpstr>Список_Теплоноситель</vt:lpstr>
      <vt:lpstr>Список_ТипЗаслонки</vt:lpstr>
      <vt:lpstr>Список_ТипНагревателя</vt:lpstr>
      <vt:lpstr>Список_ТипФильтра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Жолудев Сергей Игоревич</dc:creator>
  <cp:lastModifiedBy>Анастасия</cp:lastModifiedBy>
  <cp:lastPrinted>2021-05-06T08:14:44Z</cp:lastPrinted>
  <dcterms:created xsi:type="dcterms:W3CDTF">2016-07-24T18:11:32Z</dcterms:created>
  <dcterms:modified xsi:type="dcterms:W3CDTF">2025-04-02T10:56:07Z</dcterms:modified>
</cp:coreProperties>
</file>